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smals-mvm.be\data\Users\krive\Documents\smals-research\Cloud Security Model\"/>
    </mc:Choice>
  </mc:AlternateContent>
  <bookViews>
    <workbookView xWindow="480" yWindow="30" windowWidth="18195" windowHeight="8025"/>
  </bookViews>
  <sheets>
    <sheet name="Intro" sheetId="7" r:id="rId1"/>
    <sheet name="Information" sheetId="8" r:id="rId2"/>
    <sheet name="Conditional answers" sheetId="3" state="hidden" r:id="rId3"/>
    <sheet name="Assessment" sheetId="2" r:id="rId4"/>
    <sheet name="Overview" sheetId="6" r:id="rId5"/>
    <sheet name="TempResults" sheetId="9" state="hidden" r:id="rId6"/>
  </sheets>
  <externalReferences>
    <externalReference r:id="rId7"/>
  </externalReferences>
  <definedNames>
    <definedName name="≤6months">'Conditional answers'!#REF!</definedName>
    <definedName name="Answer121">'Conditional answers'!$B$2:$B$4</definedName>
    <definedName name="Answer131">'Conditional answers'!$C$2:$C$7</definedName>
    <definedName name="Answer135">'Conditional answers'!#REF!</definedName>
    <definedName name="Answer138">'Conditional answers'!#REF!</definedName>
    <definedName name="Answer141">'Conditional answers'!#REF!</definedName>
    <definedName name="Blank">'Conditional answers'!$B$5</definedName>
    <definedName name="IaaS">'Conditional answers'!$M$2</definedName>
    <definedName name="Mailinglist">'[1]Category Rating and Metrics'!$D$222,'[1]Category Rating and Metrics'!$E$222,'[1]Category Rating and Metrics'!$D$313,'[1]Category Rating and Metrics'!$E$313,'[1]Category Rating and Metrics'!$D$158,'[1]Category Rating and Metrics'!$D$290:$E$290</definedName>
    <definedName name="Never">'Conditional answers'!$H$2</definedName>
    <definedName name="No">'Conditional answers'!$G$2</definedName>
    <definedName name="PaaS">'Conditional answers'!$L$2:$L$5</definedName>
    <definedName name="SaaS">'Conditional answers'!$K$2:$K$5</definedName>
    <definedName name="ServiceModel">'Conditional answers'!$A$2:$A$4</definedName>
    <definedName name="SynchList">'[1]Category Rating and Metrics'!$D$222,'[1]Category Rating and Metrics'!$E$222,'[1]Category Rating and Metrics'!$D$313,'[1]Category Rating and Metrics'!$E$313,'[1]Category Rating and Metrics'!$D$158:$E$158,'[1]Category Rating and Metrics'!$D$290:$E$290</definedName>
    <definedName name="test">'Conditional answers'!#REF!</definedName>
    <definedName name="TierNumber">'Conditional answers'!#REF!</definedName>
    <definedName name="Unknown">'Conditional answers'!$F$2</definedName>
    <definedName name="Yes">'Conditional answers'!$I$2:$I$4</definedName>
    <definedName name="YesTime">'Conditional answers'!$J$2:$J$4</definedName>
  </definedNames>
  <calcPr calcId="162913"/>
</workbook>
</file>

<file path=xl/calcChain.xml><?xml version="1.0" encoding="utf-8"?>
<calcChain xmlns="http://schemas.openxmlformats.org/spreadsheetml/2006/main">
  <c r="J598" i="2" l="1"/>
  <c r="J587" i="2"/>
  <c r="J579" i="2"/>
  <c r="J571" i="2"/>
  <c r="J560" i="2"/>
  <c r="J545" i="2"/>
  <c r="J531" i="2"/>
  <c r="J523" i="2"/>
  <c r="J515" i="2"/>
  <c r="J502" i="2"/>
  <c r="J491" i="2"/>
  <c r="J480" i="2"/>
  <c r="J465" i="2"/>
  <c r="J451" i="2"/>
  <c r="J443" i="2"/>
  <c r="J432" i="2"/>
  <c r="J420" i="2"/>
  <c r="J408" i="2"/>
  <c r="J397" i="2"/>
  <c r="J384" i="2"/>
  <c r="J363" i="2"/>
  <c r="J352" i="2"/>
  <c r="J342" i="2"/>
  <c r="J309" i="2"/>
  <c r="J299" i="2"/>
  <c r="J289" i="2"/>
  <c r="J277" i="2"/>
  <c r="J267" i="2"/>
  <c r="J253" i="2"/>
  <c r="J244" i="2"/>
  <c r="J231" i="2"/>
  <c r="J220" i="2"/>
  <c r="J211" i="2"/>
  <c r="J203" i="2"/>
  <c r="J195" i="2"/>
  <c r="J187" i="2"/>
  <c r="J178" i="2"/>
  <c r="E211" i="2"/>
  <c r="G211" i="2" s="1"/>
  <c r="E6" i="2"/>
  <c r="E84" i="2"/>
  <c r="E56" i="2"/>
  <c r="E266" i="2"/>
  <c r="E177" i="2"/>
  <c r="E202" i="2"/>
  <c r="E351" i="2"/>
  <c r="E514" i="2"/>
  <c r="E629" i="2"/>
  <c r="E597" i="2"/>
  <c r="E203" i="2"/>
  <c r="G203" i="2" s="1"/>
  <c r="E195" i="2"/>
  <c r="E187" i="2"/>
  <c r="E178" i="2"/>
  <c r="G187" i="2" l="1"/>
  <c r="G195" i="2"/>
  <c r="G178" i="2"/>
  <c r="G202" i="2"/>
  <c r="M130" i="2" l="1"/>
  <c r="M119" i="2"/>
  <c r="M108" i="2"/>
  <c r="M85" i="2"/>
  <c r="M342" i="2"/>
  <c r="M331" i="2"/>
  <c r="M560" i="2"/>
  <c r="M515" i="2"/>
  <c r="M363" i="2"/>
  <c r="M420" i="2"/>
  <c r="M408" i="2"/>
  <c r="M397" i="2"/>
  <c r="M384" i="2"/>
  <c r="M373" i="2"/>
  <c r="M309" i="2"/>
  <c r="M299" i="2"/>
  <c r="M289" i="2"/>
  <c r="M277" i="2"/>
  <c r="M267" i="2"/>
  <c r="M203" i="2"/>
  <c r="M211" i="2"/>
  <c r="M178" i="2"/>
  <c r="M187" i="2"/>
  <c r="M195" i="2"/>
  <c r="M465" i="2"/>
  <c r="M451" i="2"/>
  <c r="M76" i="2"/>
  <c r="M65" i="2"/>
  <c r="M7" i="2"/>
  <c r="M15" i="2"/>
  <c r="M25" i="2"/>
  <c r="M36" i="2"/>
  <c r="M47" i="2"/>
  <c r="M502" i="2" l="1"/>
  <c r="M491" i="2"/>
  <c r="M480" i="2"/>
  <c r="M220" i="2"/>
  <c r="M231" i="2"/>
  <c r="M244" i="2"/>
  <c r="M253" i="2"/>
  <c r="M587" i="2"/>
  <c r="M579" i="2"/>
  <c r="M571" i="2"/>
  <c r="M629" i="2"/>
  <c r="M619" i="2"/>
  <c r="M609" i="2"/>
  <c r="M598" i="2"/>
  <c r="M523" i="2"/>
  <c r="M96" i="2"/>
  <c r="M164" i="2"/>
  <c r="M144" i="2"/>
  <c r="M152" i="2"/>
  <c r="M545" i="2"/>
  <c r="M531" i="2"/>
  <c r="M57" i="2"/>
  <c r="F597" i="2" l="1"/>
  <c r="H319" i="2"/>
  <c r="F202" i="2"/>
  <c r="L203" i="2"/>
  <c r="L211" i="2"/>
  <c r="K211" i="2" l="1"/>
  <c r="K203" i="2"/>
  <c r="F266" i="2"/>
  <c r="F56" i="2"/>
  <c r="E8" i="2" l="1"/>
  <c r="E9" i="2"/>
  <c r="E10" i="2"/>
  <c r="E11" i="2"/>
  <c r="E12" i="2"/>
  <c r="E13" i="2"/>
  <c r="E14" i="2"/>
  <c r="E15" i="2"/>
  <c r="E16" i="2"/>
  <c r="E17" i="2"/>
  <c r="E18" i="2"/>
  <c r="E19" i="2"/>
  <c r="E20" i="2"/>
  <c r="E22" i="2"/>
  <c r="E23" i="2"/>
  <c r="E24" i="2"/>
  <c r="E25" i="2"/>
  <c r="E26" i="2"/>
  <c r="E27" i="2"/>
  <c r="E28" i="2"/>
  <c r="E29" i="2"/>
  <c r="E30" i="2"/>
  <c r="E31" i="2"/>
  <c r="E32" i="2"/>
  <c r="E33" i="2"/>
  <c r="E34" i="2"/>
  <c r="E35" i="2"/>
  <c r="E36" i="2"/>
  <c r="E37" i="2"/>
  <c r="E38" i="2"/>
  <c r="E39" i="2"/>
  <c r="E40" i="2"/>
  <c r="E41" i="2"/>
  <c r="E42" i="2"/>
  <c r="E43" i="2"/>
  <c r="E44" i="2"/>
  <c r="E45" i="2"/>
  <c r="E46" i="2"/>
  <c r="E47" i="2"/>
  <c r="E7" i="2"/>
  <c r="H5" i="2"/>
  <c r="E320" i="2"/>
  <c r="F320" i="2"/>
  <c r="H218" i="2"/>
  <c r="F219" i="2"/>
  <c r="E219" i="2"/>
  <c r="E220" i="2"/>
  <c r="E143" i="2"/>
  <c r="F6" i="2"/>
  <c r="I202" i="2" l="1"/>
  <c r="K202" i="2" s="1"/>
  <c r="I6" i="2"/>
  <c r="I84" i="2"/>
  <c r="I143" i="2"/>
  <c r="I56" i="2"/>
  <c r="I177" i="2"/>
  <c r="L342" i="2"/>
  <c r="E342" i="2"/>
  <c r="L195" i="2"/>
  <c r="L187" i="2"/>
  <c r="L178" i="2"/>
  <c r="F177" i="2"/>
  <c r="I266" i="2"/>
  <c r="E267" i="2"/>
  <c r="E277" i="2"/>
  <c r="E289" i="2"/>
  <c r="E299" i="2"/>
  <c r="E309" i="2"/>
  <c r="L202" i="2" l="1"/>
  <c r="G267" i="2"/>
  <c r="I5" i="2"/>
  <c r="G277" i="2"/>
  <c r="K277" i="2" s="1"/>
  <c r="L177" i="2"/>
  <c r="G289" i="2"/>
  <c r="K289" i="2" s="1"/>
  <c r="G309" i="2"/>
  <c r="G299" i="2"/>
  <c r="K299" i="2" s="1"/>
  <c r="I219" i="2"/>
  <c r="I218" i="2" s="1"/>
  <c r="L267" i="2" l="1"/>
  <c r="G266" i="2"/>
  <c r="K309" i="2"/>
  <c r="L309" i="2"/>
  <c r="L299" i="2"/>
  <c r="L289" i="2"/>
  <c r="L277" i="2"/>
  <c r="K267" i="2"/>
  <c r="K266" i="2" s="1"/>
  <c r="E431" i="2" l="1"/>
  <c r="E570" i="2"/>
  <c r="I597" i="2" s="1"/>
  <c r="E372" i="2"/>
  <c r="J373" i="2"/>
  <c r="E321" i="2"/>
  <c r="J164" i="2"/>
  <c r="J152" i="2"/>
  <c r="J144" i="2"/>
  <c r="E130" i="2"/>
  <c r="J130" i="2"/>
  <c r="J47" i="2"/>
  <c r="J36" i="2"/>
  <c r="I351" i="2" l="1"/>
  <c r="I320" i="2"/>
  <c r="I431" i="2"/>
  <c r="I372" i="2"/>
  <c r="E598" i="2"/>
  <c r="E587" i="2"/>
  <c r="E579" i="2"/>
  <c r="E571" i="2"/>
  <c r="E560" i="2"/>
  <c r="E545" i="2"/>
  <c r="E531" i="2"/>
  <c r="E523" i="2"/>
  <c r="E515" i="2"/>
  <c r="E502" i="2"/>
  <c r="E491" i="2"/>
  <c r="E480" i="2"/>
  <c r="E465" i="2"/>
  <c r="E451" i="2"/>
  <c r="E443" i="2"/>
  <c r="E432" i="2"/>
  <c r="E420" i="2"/>
  <c r="E408" i="2"/>
  <c r="E397" i="2"/>
  <c r="E384" i="2"/>
  <c r="E373" i="2"/>
  <c r="E363" i="2"/>
  <c r="E352" i="2"/>
  <c r="E253" i="2"/>
  <c r="E244" i="2"/>
  <c r="E231" i="2"/>
  <c r="E164" i="2"/>
  <c r="E152" i="2"/>
  <c r="E144" i="2"/>
  <c r="E119" i="2"/>
  <c r="E108" i="2"/>
  <c r="E85" i="2"/>
  <c r="J25" i="2"/>
  <c r="J57" i="2"/>
  <c r="I319" i="2" l="1"/>
  <c r="G253" i="2"/>
  <c r="K195" i="2"/>
  <c r="G220" i="2"/>
  <c r="G231" i="2"/>
  <c r="G244" i="2"/>
  <c r="G47" i="2"/>
  <c r="G7" i="2"/>
  <c r="G36" i="2"/>
  <c r="G25" i="2"/>
  <c r="G15" i="2"/>
  <c r="K187" i="2"/>
  <c r="L266" i="2"/>
  <c r="G219" i="2" l="1"/>
  <c r="G6" i="2"/>
  <c r="G177" i="2"/>
  <c r="K178" i="2"/>
  <c r="K177" i="2" s="1"/>
  <c r="I570" i="2" l="1"/>
  <c r="E609" i="2"/>
  <c r="J629" i="2"/>
  <c r="J609" i="2"/>
  <c r="H513" i="2"/>
  <c r="J331" i="2"/>
  <c r="E331" i="2"/>
  <c r="G331" i="2" l="1"/>
  <c r="G321" i="2"/>
  <c r="G342" i="2"/>
  <c r="K342" i="2" s="1"/>
  <c r="I514" i="2"/>
  <c r="G320" i="2" l="1"/>
  <c r="I513" i="2"/>
  <c r="F514" i="2" l="1"/>
  <c r="G515" i="2"/>
  <c r="G523" i="2"/>
  <c r="G531" i="2"/>
  <c r="G545" i="2"/>
  <c r="G560" i="2"/>
  <c r="L560" i="2" s="1"/>
  <c r="F570" i="2"/>
  <c r="G514" i="2" l="1"/>
  <c r="K560" i="2"/>
  <c r="L545" i="2" l="1"/>
  <c r="G164" i="2"/>
  <c r="G152" i="2"/>
  <c r="G144" i="2"/>
  <c r="G143" i="2" l="1"/>
  <c r="K545" i="2"/>
  <c r="F143" i="2" l="1"/>
  <c r="L144" i="2"/>
  <c r="K144" i="2" l="1"/>
  <c r="L164" i="2"/>
  <c r="L152" i="2"/>
  <c r="G587" i="2"/>
  <c r="G579" i="2"/>
  <c r="G571" i="2"/>
  <c r="G363" i="2"/>
  <c r="G352" i="2"/>
  <c r="G351" i="2" s="1"/>
  <c r="G420" i="2"/>
  <c r="G408" i="2"/>
  <c r="G397" i="2"/>
  <c r="G384" i="2"/>
  <c r="G373" i="2"/>
  <c r="F372" i="2"/>
  <c r="G443" i="2"/>
  <c r="G451" i="2"/>
  <c r="G465" i="2"/>
  <c r="G480" i="2"/>
  <c r="G491" i="2"/>
  <c r="G502" i="2"/>
  <c r="G432" i="2"/>
  <c r="F431" i="2"/>
  <c r="L143" i="2" l="1"/>
  <c r="G570" i="2"/>
  <c r="K164" i="2"/>
  <c r="G372" i="2"/>
  <c r="K152" i="2"/>
  <c r="G431" i="2"/>
  <c r="L523" i="2"/>
  <c r="K143" i="2" l="1"/>
  <c r="K523" i="2"/>
  <c r="J119" i="2"/>
  <c r="J108" i="2"/>
  <c r="J96" i="2"/>
  <c r="J85" i="2"/>
  <c r="F84" i="2"/>
  <c r="J3" i="9" l="1"/>
  <c r="B1" i="2"/>
  <c r="B1" i="6" l="1"/>
  <c r="L491" i="2" l="1"/>
  <c r="K491" i="2" l="1"/>
  <c r="D6" i="9" l="1"/>
  <c r="G6" i="9" s="1"/>
  <c r="F6" i="9"/>
  <c r="I6" i="9" s="1"/>
  <c r="E6" i="9"/>
  <c r="H6" i="9" s="1"/>
  <c r="I8" i="6"/>
  <c r="H8" i="6"/>
  <c r="J8" i="6"/>
  <c r="F4" i="9"/>
  <c r="I4" i="9" s="1"/>
  <c r="I6" i="6"/>
  <c r="E4" i="9"/>
  <c r="H4" i="9" s="1"/>
  <c r="J6" i="6"/>
  <c r="D4" i="9"/>
  <c r="G4" i="9" s="1"/>
  <c r="H6" i="6"/>
  <c r="J7" i="6"/>
  <c r="E5" i="9"/>
  <c r="H5" i="9" s="1"/>
  <c r="H7" i="6"/>
  <c r="D5" i="9"/>
  <c r="G5" i="9" s="1"/>
  <c r="I7" i="6"/>
  <c r="F5" i="9"/>
  <c r="I5" i="9" s="1"/>
  <c r="D3" i="9"/>
  <c r="G3" i="9" s="1"/>
  <c r="J5" i="6"/>
  <c r="F3" i="9"/>
  <c r="I3" i="9" s="1"/>
  <c r="I5" i="6"/>
  <c r="H5" i="6"/>
  <c r="E3" i="9"/>
  <c r="H3" i="9" s="1"/>
  <c r="L587" i="2" l="1"/>
  <c r="L515" i="2"/>
  <c r="L502" i="2"/>
  <c r="L480" i="2"/>
  <c r="L465" i="2"/>
  <c r="L451" i="2"/>
  <c r="L443" i="2"/>
  <c r="L420" i="2"/>
  <c r="L408" i="2"/>
  <c r="L397" i="2"/>
  <c r="L363" i="2"/>
  <c r="L352" i="2"/>
  <c r="L253" i="2"/>
  <c r="L244" i="2"/>
  <c r="L231" i="2"/>
  <c r="L220" i="2"/>
  <c r="J7" i="2"/>
  <c r="L219" i="2" l="1"/>
  <c r="L218" i="2" s="1"/>
  <c r="L351" i="2"/>
  <c r="L579" i="2"/>
  <c r="L571" i="2"/>
  <c r="L531" i="2"/>
  <c r="L514" i="2" s="1"/>
  <c r="L432" i="2"/>
  <c r="L431" i="2" s="1"/>
  <c r="J619" i="2"/>
  <c r="L384" i="2"/>
  <c r="L373" i="2"/>
  <c r="L331" i="2"/>
  <c r="J321" i="2"/>
  <c r="L321" i="2" s="1"/>
  <c r="J76" i="2"/>
  <c r="J65" i="2"/>
  <c r="J15" i="2"/>
  <c r="L570" i="2" l="1"/>
  <c r="L372" i="2"/>
  <c r="L320" i="2"/>
  <c r="K587" i="2"/>
  <c r="K579" i="2"/>
  <c r="K531" i="2"/>
  <c r="K502" i="2"/>
  <c r="K480" i="2"/>
  <c r="K465" i="2"/>
  <c r="K451" i="2"/>
  <c r="K443" i="2"/>
  <c r="K420" i="2"/>
  <c r="K408" i="2"/>
  <c r="K397" i="2"/>
  <c r="K384" i="2"/>
  <c r="K373" i="2"/>
  <c r="K352" i="2"/>
  <c r="K331" i="2"/>
  <c r="K321" i="2"/>
  <c r="K320" i="2" s="1"/>
  <c r="K253" i="2"/>
  <c r="K244" i="2"/>
  <c r="K231" i="2"/>
  <c r="K220" i="2"/>
  <c r="L319" i="2" l="1"/>
  <c r="K219" i="2"/>
  <c r="K218" i="2" s="1"/>
  <c r="K372" i="2"/>
  <c r="D6" i="6"/>
  <c r="C4" i="9"/>
  <c r="K363" i="2"/>
  <c r="K351" i="2" s="1"/>
  <c r="K432" i="2"/>
  <c r="K431" i="2" s="1"/>
  <c r="K515" i="2"/>
  <c r="K514" i="2" s="1"/>
  <c r="K571" i="2"/>
  <c r="K570" i="2" s="1"/>
  <c r="K319" i="2" l="1"/>
  <c r="F351" i="2"/>
  <c r="E619" i="2"/>
  <c r="E96" i="2"/>
  <c r="E76" i="2"/>
  <c r="E65" i="2"/>
  <c r="E57" i="2"/>
  <c r="G619" i="2" l="1"/>
  <c r="G609" i="2"/>
  <c r="G629" i="2"/>
  <c r="G598" i="2"/>
  <c r="L598" i="2" s="1"/>
  <c r="G76" i="2"/>
  <c r="G65" i="2"/>
  <c r="G57" i="2"/>
  <c r="G108" i="2"/>
  <c r="G96" i="2"/>
  <c r="G85" i="2"/>
  <c r="G119" i="2"/>
  <c r="G130" i="2"/>
  <c r="C6" i="6"/>
  <c r="B4" i="9"/>
  <c r="K609" i="2" l="1"/>
  <c r="L609" i="2"/>
  <c r="L597" i="2" s="1"/>
  <c r="L513" i="2" s="1"/>
  <c r="G597" i="2"/>
  <c r="K598" i="2"/>
  <c r="G56" i="2"/>
  <c r="K119" i="2"/>
  <c r="L119" i="2"/>
  <c r="K47" i="2"/>
  <c r="L47" i="2"/>
  <c r="K36" i="2"/>
  <c r="L36" i="2"/>
  <c r="K25" i="2"/>
  <c r="L25" i="2"/>
  <c r="K65" i="2"/>
  <c r="L65" i="2"/>
  <c r="K96" i="2"/>
  <c r="L96" i="2"/>
  <c r="K629" i="2"/>
  <c r="L629" i="2"/>
  <c r="K619" i="2"/>
  <c r="L619" i="2"/>
  <c r="G84" i="2"/>
  <c r="K130" i="2"/>
  <c r="L130" i="2"/>
  <c r="K85" i="2"/>
  <c r="L85" i="2"/>
  <c r="K108" i="2"/>
  <c r="L108" i="2"/>
  <c r="K57" i="2"/>
  <c r="L57" i="2"/>
  <c r="K76" i="2"/>
  <c r="L76" i="2"/>
  <c r="K15" i="2"/>
  <c r="L15" i="2"/>
  <c r="K7" i="2"/>
  <c r="L7" i="2"/>
  <c r="C6" i="9" l="1"/>
  <c r="D8" i="6"/>
  <c r="K597" i="2"/>
  <c r="K513" i="2" s="1"/>
  <c r="L56" i="2"/>
  <c r="K56" i="2"/>
  <c r="K6" i="2"/>
  <c r="L6" i="2"/>
  <c r="L84" i="2"/>
  <c r="K84" i="2"/>
  <c r="B6" i="9" l="1"/>
  <c r="C8" i="6"/>
  <c r="L5" i="2"/>
  <c r="K5" i="2"/>
  <c r="C7" i="6"/>
  <c r="D7" i="6"/>
  <c r="B5" i="9" l="1"/>
  <c r="C5" i="9"/>
  <c r="C5" i="6"/>
  <c r="B3" i="9"/>
  <c r="D5" i="6"/>
  <c r="C3" i="9"/>
</calcChain>
</file>

<file path=xl/sharedStrings.xml><?xml version="1.0" encoding="utf-8"?>
<sst xmlns="http://schemas.openxmlformats.org/spreadsheetml/2006/main" count="719" uniqueCount="398">
  <si>
    <t>Category Title</t>
  </si>
  <si>
    <t>Score</t>
  </si>
  <si>
    <t>Weight</t>
  </si>
  <si>
    <t>For more information open the outline (+ / - ) left from row number</t>
  </si>
  <si>
    <t>Governance</t>
  </si>
  <si>
    <t>Legal implication</t>
  </si>
  <si>
    <t>1.1</t>
  </si>
  <si>
    <t>1.1.1</t>
  </si>
  <si>
    <t>SaaS</t>
  </si>
  <si>
    <t>PaaS</t>
  </si>
  <si>
    <t>IaaS</t>
  </si>
  <si>
    <t>EU</t>
  </si>
  <si>
    <t>Other</t>
  </si>
  <si>
    <t>Unknown</t>
  </si>
  <si>
    <t>1.1.2</t>
  </si>
  <si>
    <t>Score specification</t>
  </si>
  <si>
    <t>Explanations / Examples</t>
  </si>
  <si>
    <t>1.1.3</t>
  </si>
  <si>
    <t>1.1.4</t>
  </si>
  <si>
    <t>Yes</t>
  </si>
  <si>
    <t>No</t>
  </si>
  <si>
    <t>1.1.5</t>
  </si>
  <si>
    <t>1.2</t>
  </si>
  <si>
    <t>Supply chain management</t>
  </si>
  <si>
    <t>1.2.1</t>
  </si>
  <si>
    <t>1.2.2</t>
  </si>
  <si>
    <t>1.2.3</t>
  </si>
  <si>
    <t>Audit</t>
  </si>
  <si>
    <t>1.3</t>
  </si>
  <si>
    <t>1.3.1</t>
  </si>
  <si>
    <t>1.3.2</t>
  </si>
  <si>
    <t>Answer121</t>
  </si>
  <si>
    <t>1.3.3</t>
  </si>
  <si>
    <t>6 months</t>
  </si>
  <si>
    <t>1 year</t>
  </si>
  <si>
    <t>N/A</t>
  </si>
  <si>
    <t>1.3.4</t>
  </si>
  <si>
    <t>Answer131</t>
  </si>
  <si>
    <t>If Answer=No</t>
  </si>
  <si>
    <t>If Answer=Yes and expect a Yes/No answer</t>
  </si>
  <si>
    <t>1.3.5</t>
  </si>
  <si>
    <t>The answer to this question will depend on the answer of question 1.3.1.</t>
  </si>
  <si>
    <t>Is there a Tier certification of data centers (especially for physical availability and security) or equivalent certification?</t>
  </si>
  <si>
    <t>If Answer=Unknown</t>
  </si>
  <si>
    <t>E.g. hiring a new subcontractor.</t>
  </si>
  <si>
    <t>1.4</t>
  </si>
  <si>
    <t>1.4.1</t>
  </si>
  <si>
    <t>1.5</t>
  </si>
  <si>
    <t>Others</t>
  </si>
  <si>
    <t>1.5.1</t>
  </si>
  <si>
    <t>E.g. British Standard BS 25999 certificate for business continuity management.</t>
  </si>
  <si>
    <t>This refers to the continuity of the service in case of incident.</t>
  </si>
  <si>
    <t>Is the cloud service delivery managed under SLAs (Service Level Agreements)?</t>
  </si>
  <si>
    <t>Identity and Access Management (IAM)</t>
  </si>
  <si>
    <t>2.1</t>
  </si>
  <si>
    <t>2.1.1</t>
  </si>
  <si>
    <t>2.1.2</t>
  </si>
  <si>
    <t>2.1.3</t>
  </si>
  <si>
    <t>2.1.4</t>
  </si>
  <si>
    <t>E.g. to change password each month.</t>
  </si>
  <si>
    <t>2.2</t>
  </si>
  <si>
    <t>2.2.1</t>
  </si>
  <si>
    <t>Tenant system administrator</t>
  </si>
  <si>
    <t>CSP</t>
  </si>
  <si>
    <t>2.2.2</t>
  </si>
  <si>
    <t>2.2.3</t>
  </si>
  <si>
    <t>2.2.4</t>
  </si>
  <si>
    <t>2.3</t>
  </si>
  <si>
    <t>IT Security</t>
  </si>
  <si>
    <t>3.1</t>
  </si>
  <si>
    <t>Segregation of data</t>
  </si>
  <si>
    <t>3.1.1</t>
  </si>
  <si>
    <t>Can the cloud service be provided as private or community?</t>
  </si>
  <si>
    <t>This might be useful when a separated instance for a governmental institution is needed.</t>
  </si>
  <si>
    <t>3.1.2</t>
  </si>
  <si>
    <t>E.g. VLAN isolation, data-at-rest encryption, user choice of the datacenter.</t>
  </si>
  <si>
    <t>3.2</t>
  </si>
  <si>
    <t>Interface security</t>
  </si>
  <si>
    <t>3.2.1</t>
  </si>
  <si>
    <t>Are APIs developed in accordance with standards?</t>
  </si>
  <si>
    <t>E.g. following the OWASP guidelines.</t>
  </si>
  <si>
    <t>3.2.2</t>
  </si>
  <si>
    <t>3.3</t>
  </si>
  <si>
    <t>Infrastructure and virtualization security</t>
  </si>
  <si>
    <t>3.3.1</t>
  </si>
  <si>
    <t>Is the access to hypervisors management functions and administration consoles highly controlled?</t>
  </si>
  <si>
    <t>E.g. with strong authentication, SSL/TLS communication.</t>
  </si>
  <si>
    <t>3.3.2</t>
  </si>
  <si>
    <t>E.g. with cryptographic wiping, demagnetize data storage.</t>
  </si>
  <si>
    <t>After deletion, the data should not be forensically recoverable.</t>
  </si>
  <si>
    <t>3.3.3</t>
  </si>
  <si>
    <t>3.3.4</t>
  </si>
  <si>
    <t>Does the CSP take defense-in-depth approach to wired or wireless network security?</t>
  </si>
  <si>
    <t>E.g. with firewalls, APT detection tools.</t>
  </si>
  <si>
    <t>3.3.5</t>
  </si>
  <si>
    <t>E.g. only used ports opened, file integrity monitoring, logging, IDS/IPS.</t>
  </si>
  <si>
    <t>Are security mechanisms to prevent and analyze data leakage at the hardware and virtual (if applicable) levels available?</t>
  </si>
  <si>
    <t>E.g. with DLP.</t>
  </si>
  <si>
    <t>Service model</t>
  </si>
  <si>
    <t>Are tools to prevent, detect and mitigate viruses and malwares at server stations available?</t>
  </si>
  <si>
    <t>Does the CSP test patches in acceptance environments prior to deployment?</t>
  </si>
  <si>
    <t>If ServiceModel=SaaS</t>
  </si>
  <si>
    <t>If ServiceModel=PaaS</t>
  </si>
  <si>
    <t>If ServiceModel=IaaS</t>
  </si>
  <si>
    <t>The answer to this question depends on the cloud service model: N/A for IaaS.</t>
  </si>
  <si>
    <t>Who is in charge of the key management?</t>
  </si>
  <si>
    <t>Tenant user</t>
  </si>
  <si>
    <t>Subcontractor</t>
  </si>
  <si>
    <t>Trusted third party (e.g. key management provider)</t>
  </si>
  <si>
    <t>Has the key management been defined through policies and procedures as required by the ISO/IEC27002:2013 standard?</t>
  </si>
  <si>
    <t>Have the cryptographic mechanisms used for the cloud service been defined to guarantee adequate cryptographic strength?</t>
  </si>
  <si>
    <t>This may prevent the CSP and potential subcontractors from obtaining the data in clear if they do not manage the keys.</t>
  </si>
  <si>
    <t>Does the CSP use HSMs (Hardware Security Modules) for the protection of keys?</t>
  </si>
  <si>
    <t>4.1</t>
  </si>
  <si>
    <t>Operational Security</t>
  </si>
  <si>
    <t>Backup and disaster recovery</t>
  </si>
  <si>
    <t>4.1.1</t>
  </si>
  <si>
    <t>4.1.2</t>
  </si>
  <si>
    <t>4.2</t>
  </si>
  <si>
    <t>4.2.1</t>
  </si>
  <si>
    <t>Incident management</t>
  </si>
  <si>
    <t>4.2.2</t>
  </si>
  <si>
    <t>4.2.3</t>
  </si>
  <si>
    <t>E.g. acceptable user policy, security awareness program, disciplinary process.</t>
  </si>
  <si>
    <t>N/A?</t>
  </si>
  <si>
    <t>Measured score</t>
  </si>
  <si>
    <t>IAM</t>
  </si>
  <si>
    <t>Chart options</t>
  </si>
  <si>
    <t>Cloud service DOES satisfy</t>
  </si>
  <si>
    <t>Cloud service MAY satisfy</t>
  </si>
  <si>
    <t>Cloud service DOES NOT satisfy</t>
  </si>
  <si>
    <t>VERSION:</t>
  </si>
  <si>
    <t>LICENSE:</t>
  </si>
  <si>
    <t>Change tracking</t>
  </si>
  <si>
    <t>1.0</t>
  </si>
  <si>
    <t>First release</t>
  </si>
  <si>
    <t>1.</t>
  </si>
  <si>
    <t>2.</t>
  </si>
  <si>
    <t>3.</t>
  </si>
  <si>
    <t>4.</t>
  </si>
  <si>
    <t>5.</t>
  </si>
  <si>
    <t>Smals Cloud Service Security Assessment Model</t>
  </si>
  <si>
    <t>The "Assessment" tab contains all the questions necessary for the evaluation of a cloud service.</t>
  </si>
  <si>
    <t>Each question has been defined with a specific weight. From the scores of each question, the final weighted scores are automatically filled (in combination with the defined weights).</t>
  </si>
  <si>
    <t>How to use this template:</t>
  </si>
  <si>
    <t>Answer's value</t>
  </si>
  <si>
    <r>
      <rPr>
        <u/>
        <sz val="10"/>
        <rFont val="Verdana"/>
        <family val="2"/>
      </rPr>
      <t>Note:</t>
    </r>
    <r>
      <rPr>
        <sz val="10"/>
        <rFont val="Verdana"/>
        <family val="2"/>
      </rPr>
      <t xml:space="preserve"> If the assessor does not know the answer to a question, the option "Unknown" must be chosen. This will give two different scores for one topic.</t>
    </r>
  </si>
  <si>
    <t>Minimal weighted score</t>
  </si>
  <si>
    <t>Maximal weighted score</t>
  </si>
  <si>
    <t>Cloud service name:</t>
  </si>
  <si>
    <t>Cloud service provider (CSP):</t>
  </si>
  <si>
    <t>The column "answer's value" contains the relative score of each expected response for each question (over 100) as a reference. The cells containing the relative scores must not be changed.</t>
  </si>
  <si>
    <t>Possibility to put some description in the question's rows</t>
  </si>
  <si>
    <t>Does comply</t>
  </si>
  <si>
    <t>Does not comply</t>
  </si>
  <si>
    <t>May comply</t>
  </si>
  <si>
    <t>Cloud service informations</t>
  </si>
  <si>
    <t>Evaluated by:</t>
  </si>
  <si>
    <t>Evaluated date:</t>
  </si>
  <si>
    <t>Compliance with cloud policy (not depending on data type)</t>
  </si>
  <si>
    <t>Compliance with cloud policy (depending on data type)</t>
  </si>
  <si>
    <t>Name of the cloud service</t>
  </si>
  <si>
    <t>In a multi-tenant system, are the data of the respective tenants segregated/isolated in such a way that it is technically impossible for any user of tenant A to receive entitlements to data of tenant B?</t>
  </si>
  <si>
    <t>Select appropriate range or value for every question (select N/A if not applicable)</t>
  </si>
  <si>
    <t>Can the CSP accomodate with the tenant's data retention requirements?</t>
  </si>
  <si>
    <t>E.g. either do not store data more than a few months, or store data for several years.</t>
  </si>
  <si>
    <t>Can the data be given to, shared with third parties, or used by the CSP for other purposes than the cloud service without the tenant’s consent?</t>
  </si>
  <si>
    <t>At which time interval is the cloud service (including all its subcontractors) audited by a third party?</t>
  </si>
  <si>
    <t>≤ 6 months</t>
  </si>
  <si>
    <t>2 years</t>
  </si>
  <si>
    <t>&gt; 2 years</t>
  </si>
  <si>
    <t>Never</t>
  </si>
  <si>
    <t>If Anwser=Never</t>
  </si>
  <si>
    <t>If the cloud service is audited, are the scopes of the audits accurately defined?</t>
  </si>
  <si>
    <t>&gt; 1 year</t>
  </si>
  <si>
    <t>Tier 1 or equivalent</t>
  </si>
  <si>
    <t>Tier 2 or equivalent</t>
  </si>
  <si>
    <t>Tier 3 or equivalent</t>
  </si>
  <si>
    <t>Tier 4 or equivalent</t>
  </si>
  <si>
    <t>No Tier certification or equivalent</t>
  </si>
  <si>
    <t>If Answer=time interval</t>
  </si>
  <si>
    <t>E.g. with encryption.</t>
  </si>
  <si>
    <t>Are backup controls defined and adequate?</t>
  </si>
  <si>
    <t>4.1.3</t>
  </si>
  <si>
    <t>The jurisdiction of the CSP should be taken into account.</t>
  </si>
  <si>
    <t xml:space="preserve">The column "score" has to be filled using the possible answers. </t>
  </si>
  <si>
    <r>
      <rPr>
        <u/>
        <sz val="10"/>
        <rFont val="Verdana"/>
        <family val="2"/>
      </rPr>
      <t>Note:</t>
    </r>
    <r>
      <rPr>
        <sz val="10"/>
        <rFont val="Verdana"/>
        <family val="2"/>
      </rPr>
      <t xml:space="preserve"> The questions must be filled according to the given order, as some questions depend on the answers given in previous questions.</t>
    </r>
  </si>
  <si>
    <t>4.1.</t>
  </si>
  <si>
    <t>4.2.</t>
  </si>
  <si>
    <t>4.3.</t>
  </si>
  <si>
    <t>4.4.</t>
  </si>
  <si>
    <t>4.5.</t>
  </si>
  <si>
    <r>
      <t xml:space="preserve">There are 2 different results: the </t>
    </r>
    <r>
      <rPr>
        <b/>
        <sz val="10"/>
        <color rgb="FF92D050"/>
        <rFont val="Verdana"/>
        <family val="2"/>
      </rPr>
      <t>minimal weighted score</t>
    </r>
    <r>
      <rPr>
        <sz val="10"/>
        <rFont val="Verdana"/>
        <family val="2"/>
      </rPr>
      <t xml:space="preserve"> and the </t>
    </r>
    <r>
      <rPr>
        <b/>
        <sz val="10"/>
        <color rgb="FFFFC000"/>
        <rFont val="Verdana"/>
        <family val="2"/>
      </rPr>
      <t>maximal weighted score</t>
    </r>
    <r>
      <rPr>
        <sz val="10"/>
        <rFont val="Verdana"/>
        <family val="2"/>
      </rPr>
      <t xml:space="preserve">.
- The </t>
    </r>
    <r>
      <rPr>
        <b/>
        <sz val="10"/>
        <color rgb="FF92D050"/>
        <rFont val="Verdana"/>
        <family val="2"/>
      </rPr>
      <t>minimal weighted score</t>
    </r>
    <r>
      <rPr>
        <sz val="10"/>
        <rFont val="Verdana"/>
        <family val="2"/>
      </rPr>
      <t xml:space="preserve"> corresponds to the situation where all the "Unknown" responses have been replaced by the worst answer. This is the worst case of the security evaluation, considering the uncertainty of the "Unknown" responses.
- The </t>
    </r>
    <r>
      <rPr>
        <b/>
        <sz val="10"/>
        <color rgb="FFFFC000"/>
        <rFont val="Verdana"/>
        <family val="2"/>
      </rPr>
      <t>maximal weighted score</t>
    </r>
    <r>
      <rPr>
        <sz val="10"/>
        <rFont val="Verdana"/>
        <family val="2"/>
      </rPr>
      <t xml:space="preserve"> corresponds to the situation where all the "Unknown" responses have been replaced by the best answer. This is the best case of the security evaluation, considering the uncertainty of the "Unknown" responses.</t>
    </r>
  </si>
  <si>
    <t>The two last columns grouped under "compliance with cloud policy" refer to the guarantees required by the cloud policy of the Social Security.</t>
  </si>
  <si>
    <t>Ignoring the data type</t>
  </si>
  <si>
    <t>The column "ignoring the data type" refers to the cloud policy guarantees that do not depend on the type of data to be stored in the cloud service.</t>
  </si>
  <si>
    <t>The column "if personal, social or medical data" refers to the additional cloud policy guarantees expected when the data to be stored in the cloud service are personal, social or medical.</t>
  </si>
  <si>
    <t>5.1.</t>
  </si>
  <si>
    <t>5.2.</t>
  </si>
  <si>
    <t>The "Overview" tab is a visual aide for the assessor.</t>
  </si>
  <si>
    <t>The donuts represent the compliance to the cloud policy per criterion when the data type is ignored.</t>
  </si>
  <si>
    <t>The deletion must absolutely erase all copies of data, except meta-data that might be kept for judicial or accounting requirements.</t>
  </si>
  <si>
    <t>Can the backup retention plan be defined by the tenant?</t>
  </si>
  <si>
    <t>Does the CSP have adequate security policies and procedures regarding CSP employee security?</t>
  </si>
  <si>
    <t>E.g. certificates PCI DSS, HIPAA, ISO 27000, COBIT, SSAE16, SOC2/3, or norm ISAE 3402.</t>
  </si>
  <si>
    <t>Yes, only an ISP</t>
  </si>
  <si>
    <t>Business continuity</t>
  </si>
  <si>
    <t>Does the CSP define and implement a business continuity plan?</t>
  </si>
  <si>
    <t>The cloud service should not be a "vendor lock-in" service. The data should be in a standard format, and the data recovery should be automated as much as possible to help a potential migration to a new CSP.</t>
  </si>
  <si>
    <t>1.4.2</t>
  </si>
  <si>
    <t>1.4.3</t>
  </si>
  <si>
    <t>This is the time within which the cloud service must be restored after a disaster.</t>
  </si>
  <si>
    <t>No RTO</t>
  </si>
  <si>
    <t>&lt; 1 hour</t>
  </si>
  <si>
    <t>&lt; 4 hours</t>
  </si>
  <si>
    <t>&lt; 1 day</t>
  </si>
  <si>
    <t>1 day</t>
  </si>
  <si>
    <t>1 week</t>
  </si>
  <si>
    <t>This is the maximum period in which data might be lost by the cloud service due to a disaster.</t>
  </si>
  <si>
    <t>No RPO</t>
  </si>
  <si>
    <t>1 hour</t>
  </si>
  <si>
    <t>&lt; 1 week</t>
  </si>
  <si>
    <t>4.1.4</t>
  </si>
  <si>
    <t>4.1.5</t>
  </si>
  <si>
    <t>Values computed automated</t>
  </si>
  <si>
    <t>Fixed values per subsection</t>
  </si>
  <si>
    <t>Dynamic values per subsection from N/A</t>
  </si>
  <si>
    <t>Fixed values per section</t>
  </si>
  <si>
    <t>Dynamic values per section from N/A</t>
  </si>
  <si>
    <t>The documents related to the Tier certification can be found at: http://uptimeinstitute.com/</t>
  </si>
  <si>
    <t>4.3</t>
  </si>
  <si>
    <t>4.3.1</t>
  </si>
  <si>
    <t>4.3.2</t>
  </si>
  <si>
    <t>Which RPO (Recovery Point objective) can be satisfied by the cloud service?</t>
  </si>
  <si>
    <t>Is hardening process performed on the server stations?</t>
  </si>
  <si>
    <t>The country of the assessor</t>
  </si>
  <si>
    <t xml:space="preserve">Creative Commons Attribution-NonCommercial-ShareAlike 4.0 International License </t>
  </si>
  <si>
    <t>http://creativecommons.org/licenses/by-nc-sa/4.0/</t>
  </si>
  <si>
    <t>2.0</t>
  </si>
  <si>
    <t>The ponderations are now locked</t>
  </si>
  <si>
    <t>Some visual and security enhancements have been added</t>
  </si>
  <si>
    <t>3 months</t>
  </si>
  <si>
    <t>Correction of a ponderation</t>
  </si>
  <si>
    <t>Correction related to the compliance with the cloud policy</t>
  </si>
  <si>
    <t>2.4</t>
  </si>
  <si>
    <t>Cryptography for the protection of the tenant's data</t>
  </si>
  <si>
    <t>2.5</t>
  </si>
  <si>
    <t>Some modifications in the questions have been added</t>
  </si>
  <si>
    <t>What is the physical location of data (at-rest and for processing)?</t>
  </si>
  <si>
    <t>Can the data be given to governments outside the jurisdiction of the data controller, if requested for judicial requirements without informing the tenant or without constitutional guarantees?</t>
  </si>
  <si>
    <t>At which time interval is the cloud service (including all its subcontractors) vulnerability tested, whereby critical vulnerabilites are fixed?</t>
  </si>
  <si>
    <t>Did the cloud service define an ISP (Information Security Policy) and obtain a certification for the relevant security processes?</t>
  </si>
  <si>
    <t>Is there a contractual clause that guarantees the posibility to migrate/export the data conform legislation (e.g. in a readable, standardized format).</t>
  </si>
  <si>
    <t>Is data securely deleted from all storage media when the user’s or tenant’s account is deleted within defined timeframes?</t>
  </si>
  <si>
    <t>Are controls at the hardware and virtual (if applicable) levels present and well documented?</t>
  </si>
  <si>
    <t>Yes, highest level controls</t>
  </si>
  <si>
    <t>Yes, but controls could be substantially improved</t>
  </si>
  <si>
    <t>Yes, Optimized</t>
  </si>
  <si>
    <t>Yes, Managed</t>
  </si>
  <si>
    <t>Yes, Documentend</t>
  </si>
  <si>
    <t xml:space="preserve">Yes,  </t>
  </si>
  <si>
    <t>Protection 30 to 50 years</t>
  </si>
  <si>
    <t>Protection for over 50 years</t>
  </si>
  <si>
    <t>Adequate protection for less than 10 years</t>
  </si>
  <si>
    <t>Near-term adequate protection (up to 10 years)</t>
  </si>
  <si>
    <t>Yes, level 1</t>
  </si>
  <si>
    <t>Yes, level 2</t>
  </si>
  <si>
    <t>Yes, level 3</t>
  </si>
  <si>
    <t>Yes, level 4</t>
  </si>
  <si>
    <t>Yes, but unknown level</t>
  </si>
  <si>
    <t>Is tenant-side encryption of data possible?</t>
  </si>
  <si>
    <t xml:space="preserve">Yes, no further information </t>
  </si>
  <si>
    <t>Does the CSP use SIEM (Security Information and Event Management) technology for analyzing the security alerts and data logs?</t>
  </si>
  <si>
    <t>Is physical machine shared by multiple tenants</t>
  </si>
  <si>
    <t>Yes, unknown tenants</t>
  </si>
  <si>
    <t>Yes, community tenants or known trusted tenants</t>
  </si>
  <si>
    <t>Only the cloud provider</t>
  </si>
  <si>
    <t>Tenant defines and cloud provider is fully transparent about the implementation</t>
  </si>
  <si>
    <t>Tenant partially defines and cloud provider is responsible for implementation</t>
  </si>
  <si>
    <t>Tenant fully defines and cloud provider is responsible for implementation</t>
  </si>
  <si>
    <t>At any time</t>
  </si>
  <si>
    <t>At initial contract &amp; setup</t>
  </si>
  <si>
    <t>Does the cloud provider have the right to unilaterally change risk mitigation measured</t>
  </si>
  <si>
    <t>When can the tenant (re-)define risk mitigation measures?</t>
  </si>
  <si>
    <t>Who defines and is responsible for the implementation of risk mitigation measures of the cloud solution?</t>
  </si>
  <si>
    <t>Yes, audit definition fully defined by tenant</t>
  </si>
  <si>
    <t>Yes, but tenant has no impact on audit definition</t>
  </si>
  <si>
    <t>Authorization detection control to both tenants assets (=data &amp; code) and CSP's system</t>
  </si>
  <si>
    <t>Can the tenants define in a fine-grained way the authorization enforcement rules for the tenants assets at the CSP?</t>
  </si>
  <si>
    <t>A country with a legal framework that guarantees data protection compliant with EU legislation</t>
  </si>
  <si>
    <t>What is the (lowest) authentication level of CSP administrators</t>
  </si>
  <si>
    <t>Low</t>
  </si>
  <si>
    <t>Substantial</t>
  </si>
  <si>
    <t>High</t>
  </si>
  <si>
    <t>The assurance levels (low, substantial, high) are defined by the eIDAS regulation</t>
  </si>
  <si>
    <t>How strong are the authorization enforcement rules to access tenants assets (=data &amp; code) or the CSP's system</t>
  </si>
  <si>
    <t>Need to know: Access only to data that need to be known at the time it needs to be know
Least privilige: Admins (and processes) have only the stricly required rights to perform their tasks.
Separation of duties. More than one person is required to complete a task.</t>
  </si>
  <si>
    <t>Need to know &amp; separation of duties</t>
  </si>
  <si>
    <t>Least privilige  &amp; separation of duties</t>
  </si>
  <si>
    <t>Need to know &amp; no separation of duties</t>
  </si>
  <si>
    <t>Least privilige  &amp; no separation of duties</t>
  </si>
  <si>
    <t>Logging</t>
  </si>
  <si>
    <t>Monitoring</t>
  </si>
  <si>
    <t>Yes, but insufficiently complete or clear</t>
  </si>
  <si>
    <t>Are authentication and authorization rules well documented?</t>
  </si>
  <si>
    <t>CSP administrators</t>
  </si>
  <si>
    <t>End-users and admins at the tenant side</t>
  </si>
  <si>
    <t>Is integration with the authentication system of the tenant (or third party) possible?</t>
  </si>
  <si>
    <t>Yes,both LDAP and identity provider can be integrated</t>
  </si>
  <si>
    <t>Yes,only identity provider can be integrated</t>
  </si>
  <si>
    <t>Yes,only LDAP can be integrated</t>
  </si>
  <si>
    <t>What is the strongest level of authentication available?</t>
  </si>
  <si>
    <t>Only relevant if answer on previous question is 'no'. According to eIDAS assurance levels.</t>
  </si>
  <si>
    <t>Is authorization detection control by the CSP to both tenants assets (=data &amp; code) and CSP's system in place?</t>
  </si>
  <si>
    <t>Yes, monitoring</t>
  </si>
  <si>
    <t>Yes, logging</t>
  </si>
  <si>
    <t>Are authentication and authorization rules by CSP well documented?</t>
  </si>
  <si>
    <t>2.2.5</t>
  </si>
  <si>
    <t>The process of securing a system by reducing its surface of vulnerability, which is larger when a system performs more functions; in principle a single-function system is more secure than a multipurpose one. Reducing available ways of attack typically includes changing default passwords, the removal of unnecessary software, unnecessary usernames or logins, and the disabling or removal of unnecessary services.</t>
  </si>
  <si>
    <t>E.g. following the NIST standards of algorithms and key length. See keylength.com for most recent recommendations</t>
  </si>
  <si>
    <t>See FIPS 140-2 for definition of the four levels</t>
  </si>
  <si>
    <t>E.g. with digital signature, hashing, MACs, ....</t>
  </si>
  <si>
    <t>Risk mitigation</t>
  </si>
  <si>
    <t>3.1.3</t>
  </si>
  <si>
    <t>Is the collection and further processing of the metadata transparant, are the objectives clear and is it clear who is the owner of the data?</t>
  </si>
  <si>
    <t>Are data integrity and confidentiality ensured during communication?</t>
  </si>
  <si>
    <t>1.5.2</t>
  </si>
  <si>
    <t>1.5.3</t>
  </si>
  <si>
    <t>1.6</t>
  </si>
  <si>
    <t>1.6.1</t>
  </si>
  <si>
    <t>3.0</t>
  </si>
  <si>
    <t>The chart represents the minimal and maximal weighted scores of each dimension.</t>
  </si>
  <si>
    <t>Interpretation of results</t>
  </si>
  <si>
    <t>EU legislation</t>
  </si>
  <si>
    <t xml:space="preserve">To which jurisdiction is the service of and the contract with the CSP conform? </t>
  </si>
  <si>
    <t>Substatantial data protection guaranteed by legislation and in contract, but not completely compliant with EU legislation</t>
  </si>
  <si>
    <t>Only weak or no data protection guaranteed by legislation and in contract</t>
  </si>
  <si>
    <t>In case of subcontracting, does the CSP guarantee contractually to remain fully responsible for his engagements, even with the hiring of subcontractors?</t>
  </si>
  <si>
    <t>On request by the tenant</t>
  </si>
  <si>
    <t>On request by tenant</t>
  </si>
  <si>
    <t>Yes, contractually specified in a "exit clause"</t>
  </si>
  <si>
    <t>Yes with a regular and cost-efficient export of the data in practical format</t>
  </si>
  <si>
    <t>Yes, processing clearly agreed with tenant</t>
  </si>
  <si>
    <t>Yes, processing potentially also used for other purposes</t>
  </si>
  <si>
    <t>Monitoring &amp; logging</t>
  </si>
  <si>
    <t>Yes, Complete, clear &amp; but not pushed to involved entities</t>
  </si>
  <si>
    <t>Yes, Complete, clear &amp; regularly communicated to involved entities</t>
  </si>
  <si>
    <t>Yes, monitoring &amp; logging</t>
  </si>
  <si>
    <t>Yes, strong, rigorous procedures and governance by both certificate authority (CA) and CSP</t>
  </si>
  <si>
    <t>Is the integrity of the data-at-rest, stored by the CSP, cryptographically ensured?</t>
  </si>
  <si>
    <t>Which RTO (Recovery Time objective) can be satisfied by the CSP?</t>
  </si>
  <si>
    <t>More than a week</t>
  </si>
  <si>
    <t>5 minutes</t>
  </si>
  <si>
    <t>Are tenants able to initiate recovery tests, including reporting?</t>
  </si>
  <si>
    <t>Yes, at any time</t>
  </si>
  <si>
    <t>Yes, once a year</t>
  </si>
  <si>
    <t>Yes, multiple times per year</t>
  </si>
  <si>
    <t>Yes, with well documented procedures and SLAs</t>
  </si>
  <si>
    <t xml:space="preserve">Does the CSP have an adequate incident and data breach procedure for managing and minimizing the impact of security and privacy incidents on tenants’ data. </t>
  </si>
  <si>
    <t>Yes, contractually defined</t>
  </si>
  <si>
    <t>Yes, only documented</t>
  </si>
  <si>
    <t>Vulnerability management</t>
  </si>
  <si>
    <t>Is there a documented (and, hence, transparent) vulnerability management process implemented in the cloud service?</t>
  </si>
  <si>
    <t>Vulnerabillity management is not limited to software (patching) but also applies on hardware.</t>
  </si>
  <si>
    <t>Yes, both hardware en software</t>
  </si>
  <si>
    <t>Yes, software only</t>
  </si>
  <si>
    <t>1.6.2</t>
  </si>
  <si>
    <t xml:space="preserve">Yes </t>
  </si>
  <si>
    <t>Configuration and change mangement is transparent and CSP assets (hardware, software, data) are tracked throughout their lifetime in service.</t>
  </si>
  <si>
    <t>4.3.3</t>
  </si>
  <si>
    <t>4.3.4</t>
  </si>
  <si>
    <t>3.4</t>
  </si>
  <si>
    <t>3.4.1</t>
  </si>
  <si>
    <t>3.4.2</t>
  </si>
  <si>
    <t>3.4.3</t>
  </si>
  <si>
    <t>3.4.4</t>
  </si>
  <si>
    <t>3.4.5</t>
  </si>
  <si>
    <t>3.4.6</t>
  </si>
  <si>
    <t>3.4.7</t>
  </si>
  <si>
    <t>In case of subcontracting,  will the CSP inform in advance the tenant of any change in the course of the contract?</t>
  </si>
  <si>
    <t>In case of subcontracting, will the CSP communicate subcontracting (e.g. name of the subcontractor) details to the tenant?</t>
  </si>
  <si>
    <t>Yes with a regular and cost-efficient export of the data in an agreed or standardized, documented format</t>
  </si>
  <si>
    <t>None</t>
  </si>
  <si>
    <t>Nothing foreseen</t>
  </si>
  <si>
    <t>Is the confidentiality of the data-at-rest, stored by the CSP, cryptographically ensured?</t>
  </si>
  <si>
    <t>Cloud policy compliancy outlook</t>
  </si>
  <si>
    <t>Yes, but in a fine-grained way</t>
  </si>
  <si>
    <t>Yes, but governance by certificate authority (CA) or CSP unclear or insuffienctly strong/rigorous</t>
  </si>
  <si>
    <t>Yes, ISP and certification(s)</t>
  </si>
  <si>
    <t>No ISP, no certificatation(s)</t>
  </si>
  <si>
    <t>Indicative cloud policy compliance outlook</t>
  </si>
  <si>
    <t>Revision of the questions and a clearer definition of the applicability of this model</t>
  </si>
  <si>
    <t>Be careful with the interpretation of the scores. This evaluation form is indicative, and only a human judge should decide whether of not the evaluation is sufficiently accurate. The human judge should contact the CSP of the cloud service if (s)he needs additional information.</t>
  </si>
  <si>
    <t>This model and its questions aim to stimulatie critical reflection about the security and privacy risks of the provided service.</t>
  </si>
  <si>
    <t>The goal of this evaluation form is allowing an entity  (called the assessor) to assess the security level of a cloud service offered by a Cloud Service Provider (CSP) in 4 dimensions:
- Governance
- Identity and Access Management (IAM)
- IT Security
- Operational Security</t>
  </si>
  <si>
    <r>
      <t xml:space="preserve">Before completing the evaluation form, the assessor should be in the possession of all the </t>
    </r>
    <r>
      <rPr>
        <b/>
        <sz val="10"/>
        <rFont val="Verdana"/>
        <family val="2"/>
      </rPr>
      <t>publicly available information</t>
    </r>
    <r>
      <rPr>
        <sz val="10"/>
        <rFont val="Verdana"/>
        <family val="2"/>
      </rPr>
      <t xml:space="preserve"> published on the official website of the cloud service, in particular a standard contract and all the available datasheets. We assume that the information found on the official website is correct.</t>
    </r>
  </si>
  <si>
    <t>The "Information" tab should be completed with general info related to the assessment: cloud service name/provider/model, the name of the assessor, and the date of the assessment.</t>
  </si>
  <si>
    <r>
      <rPr>
        <u/>
        <sz val="10"/>
        <rFont val="Verdana"/>
        <family val="2"/>
      </rPr>
      <t>Note:</t>
    </r>
    <r>
      <rPr>
        <sz val="10"/>
        <rFont val="Verdana"/>
        <family val="2"/>
      </rPr>
      <t xml:space="preserve"> If a score is not applicable, the option "N/A" must be chosen. This redistribute its weights over the other sub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</si>
</sst>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color theme="1"/>
      <name val="Calibri"/>
      <family val="2"/>
      <scheme val="minor"/>
    </font>
    <font>
      <sz val="9"/>
      <name val="Arial"/>
      <family val="2"/>
    </font>
    <font>
      <b/>
      <sz val="9"/>
      <name val="Arial"/>
      <family val="2"/>
    </font>
    <font>
      <i/>
      <sz val="8"/>
      <name val="Arial"/>
      <family val="2"/>
    </font>
    <font>
      <sz val="11"/>
      <color theme="0"/>
      <name val="Calibri"/>
      <family val="2"/>
      <scheme val="minor"/>
    </font>
    <font>
      <sz val="16"/>
      <color theme="1"/>
      <name val="Calibri"/>
      <family val="2"/>
      <scheme val="minor"/>
    </font>
    <font>
      <sz val="26"/>
      <color theme="1"/>
      <name val="Calibri"/>
      <family val="2"/>
      <scheme val="minor"/>
    </font>
    <font>
      <sz val="10"/>
      <name val="Arial"/>
      <family val="2"/>
    </font>
    <font>
      <b/>
      <sz val="18"/>
      <name val="Arial"/>
      <family val="2"/>
    </font>
    <font>
      <b/>
      <sz val="12"/>
      <name val="Arial"/>
      <family val="2"/>
    </font>
    <font>
      <b/>
      <sz val="16"/>
      <name val="Arial"/>
      <family val="2"/>
    </font>
    <font>
      <sz val="12"/>
      <name val="Arial"/>
      <family val="2"/>
    </font>
    <font>
      <sz val="12"/>
      <name val="Verdana"/>
      <family val="2"/>
    </font>
    <font>
      <u/>
      <sz val="10"/>
      <color indexed="12"/>
      <name val="Arial"/>
      <family val="2"/>
    </font>
    <font>
      <b/>
      <sz val="10"/>
      <name val="Arial"/>
      <family val="2"/>
    </font>
    <font>
      <sz val="10"/>
      <name val="Verdana"/>
      <family val="2"/>
    </font>
    <font>
      <sz val="11"/>
      <name val="Verdana"/>
      <family val="2"/>
    </font>
    <font>
      <b/>
      <sz val="11"/>
      <name val="Arial"/>
      <family val="2"/>
    </font>
    <font>
      <sz val="11"/>
      <name val="Arial"/>
      <family val="2"/>
    </font>
    <font>
      <b/>
      <u/>
      <sz val="12"/>
      <color indexed="12"/>
      <name val="Arial"/>
      <family val="2"/>
    </font>
    <font>
      <i/>
      <sz val="9"/>
      <name val="Arial"/>
      <family val="2"/>
    </font>
    <font>
      <u/>
      <sz val="10"/>
      <name val="Verdana"/>
      <family val="2"/>
    </font>
    <font>
      <b/>
      <sz val="10"/>
      <color rgb="FF92D050"/>
      <name val="Verdana"/>
      <family val="2"/>
    </font>
    <font>
      <sz val="11"/>
      <color rgb="FF000000"/>
      <name val="Calibri"/>
      <family val="2"/>
    </font>
    <font>
      <b/>
      <sz val="11"/>
      <color rgb="FF000000"/>
      <name val="Calibri"/>
      <family val="2"/>
    </font>
    <font>
      <sz val="11"/>
      <color theme="1"/>
      <name val="Verdana"/>
      <family val="2"/>
    </font>
    <font>
      <sz val="11"/>
      <color theme="1"/>
      <name val="Arial"/>
      <family val="2"/>
    </font>
    <font>
      <sz val="26"/>
      <color theme="0"/>
      <name val="Calibri"/>
      <family val="2"/>
      <scheme val="minor"/>
    </font>
    <font>
      <sz val="16"/>
      <name val="Arial"/>
      <family val="2"/>
    </font>
    <font>
      <sz val="11"/>
      <color theme="1"/>
      <name val="Calibri"/>
      <family val="2"/>
    </font>
    <font>
      <b/>
      <sz val="10"/>
      <color rgb="FFFFC000"/>
      <name val="Verdana"/>
      <family val="2"/>
    </font>
    <font>
      <b/>
      <sz val="10"/>
      <name val="Verdana"/>
      <family val="2"/>
    </font>
    <font>
      <sz val="11"/>
      <color theme="1" tint="0.499984740745262"/>
      <name val="Calibri"/>
      <family val="2"/>
      <scheme val="minor"/>
    </font>
  </fonts>
  <fills count="21">
    <fill>
      <patternFill patternType="none"/>
    </fill>
    <fill>
      <patternFill patternType="gray125"/>
    </fill>
    <fill>
      <patternFill patternType="solid">
        <fgColor indexed="44"/>
        <bgColor indexed="31"/>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31"/>
      </patternFill>
    </fill>
    <fill>
      <patternFill patternType="solid">
        <fgColor rgb="FFFF0000"/>
        <bgColor indexed="64"/>
      </patternFill>
    </fill>
    <fill>
      <patternFill patternType="solid">
        <fgColor indexed="22"/>
        <bgColor indexed="64"/>
      </patternFill>
    </fill>
    <fill>
      <patternFill patternType="solid">
        <fgColor indexed="26"/>
        <bgColor indexed="43"/>
      </patternFill>
    </fill>
    <fill>
      <patternFill patternType="solid">
        <fgColor indexed="31"/>
        <bgColor indexed="41"/>
      </patternFill>
    </fill>
    <fill>
      <patternFill patternType="solid">
        <fgColor indexed="27"/>
        <bgColor indexed="26"/>
      </patternFill>
    </fill>
    <fill>
      <patternFill patternType="solid">
        <fgColor indexed="29"/>
        <bgColor indexed="45"/>
      </patternFill>
    </fill>
    <fill>
      <patternFill patternType="solid">
        <fgColor rgb="FF92D050"/>
        <bgColor indexed="64"/>
      </patternFill>
    </fill>
    <fill>
      <patternFill patternType="solid">
        <fgColor theme="3" tint="0.79998168889431442"/>
        <bgColor indexed="64"/>
      </patternFill>
    </fill>
    <fill>
      <patternFill patternType="solid">
        <fgColor theme="7" tint="0.59999389629810485"/>
        <bgColor indexed="31"/>
      </patternFill>
    </fill>
    <fill>
      <patternFill patternType="solid">
        <fgColor theme="7" tint="0.59999389629810485"/>
        <bgColor indexed="64"/>
      </patternFill>
    </fill>
    <fill>
      <patternFill patternType="solid">
        <fgColor rgb="FFFFFF00"/>
        <bgColor indexed="64"/>
      </patternFill>
    </fill>
    <fill>
      <patternFill patternType="solid">
        <fgColor rgb="FFFFFF00"/>
        <bgColor indexed="31"/>
      </patternFill>
    </fill>
    <fill>
      <patternFill patternType="solid">
        <fgColor theme="4" tint="0.7999816888943144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3">
    <xf numFmtId="0" fontId="0" fillId="0" borderId="0"/>
    <xf numFmtId="0" fontId="2" fillId="2" borderId="0" applyNumberFormat="0" applyBorder="0" applyProtection="0">
      <alignment wrapText="1"/>
    </xf>
    <xf numFmtId="0" fontId="8" fillId="0" borderId="0"/>
    <xf numFmtId="0" fontId="14" fillId="0" borderId="0" applyNumberFormat="0" applyFill="0" applyBorder="0" applyAlignment="0" applyProtection="0">
      <alignment vertical="top"/>
      <protection locked="0"/>
    </xf>
    <xf numFmtId="0" fontId="3" fillId="0" borderId="0" applyNumberFormat="0" applyBorder="0" applyProtection="0">
      <alignment wrapText="1"/>
    </xf>
    <xf numFmtId="0" fontId="2" fillId="9" borderId="0" applyNumberFormat="0" applyBorder="0" applyProtection="0">
      <alignment wrapText="1"/>
    </xf>
    <xf numFmtId="0" fontId="9" fillId="0" borderId="0" applyNumberFormat="0" applyBorder="0" applyProtection="0">
      <alignment wrapText="1"/>
    </xf>
    <xf numFmtId="0" fontId="2" fillId="2" borderId="0" applyNumberFormat="0" applyBorder="0" applyProtection="0">
      <alignment wrapText="1"/>
    </xf>
    <xf numFmtId="0" fontId="21" fillId="0" borderId="0" applyNumberFormat="0" applyBorder="0" applyProtection="0">
      <alignment wrapText="1"/>
    </xf>
    <xf numFmtId="0" fontId="2" fillId="10" borderId="0" applyNumberFormat="0" applyBorder="0" applyProtection="0">
      <alignment wrapText="1"/>
    </xf>
    <xf numFmtId="0" fontId="2" fillId="11" borderId="0" applyNumberFormat="0" applyBorder="0" applyProtection="0">
      <alignment wrapText="1"/>
    </xf>
    <xf numFmtId="0" fontId="3" fillId="12" borderId="0" applyNumberFormat="0" applyBorder="0" applyProtection="0">
      <alignment wrapText="1"/>
    </xf>
    <xf numFmtId="0" fontId="3" fillId="0" borderId="0" applyNumberFormat="0" applyBorder="0" applyProtection="0">
      <alignment wrapText="1"/>
    </xf>
  </cellStyleXfs>
  <cellXfs count="146">
    <xf numFmtId="0" fontId="0" fillId="0" borderId="0" xfId="0"/>
    <xf numFmtId="0" fontId="3" fillId="2" borderId="1" xfId="1" applyFont="1" applyBorder="1" applyAlignment="1">
      <alignment vertical="top" wrapText="1"/>
    </xf>
    <xf numFmtId="0" fontId="4" fillId="2" borderId="1" xfId="1" applyFont="1" applyBorder="1" applyAlignment="1">
      <alignment horizontal="center" vertical="top" wrapText="1"/>
    </xf>
    <xf numFmtId="0" fontId="3" fillId="2" borderId="1" xfId="1" applyFont="1" applyBorder="1" applyAlignment="1">
      <alignment horizontal="center" vertical="center" wrapText="1"/>
    </xf>
    <xf numFmtId="0" fontId="0" fillId="0" borderId="0" xfId="0" applyAlignment="1">
      <alignment vertical="center"/>
    </xf>
    <xf numFmtId="0" fontId="4" fillId="2" borderId="1" xfId="1" applyFont="1" applyBorder="1" applyAlignment="1">
      <alignment horizontal="center" vertical="center" wrapText="1"/>
    </xf>
    <xf numFmtId="0" fontId="1" fillId="0" borderId="0" xfId="0" applyFont="1" applyAlignment="1">
      <alignment vertical="center"/>
    </xf>
    <xf numFmtId="0" fontId="0" fillId="0" borderId="0" xfId="0" applyAlignment="1">
      <alignment vertical="center" wrapText="1"/>
    </xf>
    <xf numFmtId="0" fontId="0" fillId="0" borderId="0" xfId="0" applyFont="1" applyAlignment="1">
      <alignment vertical="center"/>
    </xf>
    <xf numFmtId="0" fontId="1" fillId="3" borderId="0" xfId="0" applyFont="1" applyFill="1" applyAlignment="1">
      <alignment vertical="center" wrapText="1"/>
    </xf>
    <xf numFmtId="0" fontId="0" fillId="4" borderId="0" xfId="0" applyFont="1" applyFill="1" applyAlignment="1">
      <alignment vertical="center" wrapText="1"/>
    </xf>
    <xf numFmtId="0" fontId="0" fillId="5" borderId="0" xfId="0" applyFill="1" applyAlignment="1">
      <alignment vertical="center" wrapText="1"/>
    </xf>
    <xf numFmtId="0" fontId="0" fillId="0" borderId="0" xfId="0" applyAlignment="1">
      <alignment vertical="top" wrapText="1"/>
    </xf>
    <xf numFmtId="0" fontId="1" fillId="3" borderId="0" xfId="0" applyFont="1" applyFill="1" applyAlignment="1">
      <alignment vertical="top" wrapText="1"/>
    </xf>
    <xf numFmtId="0" fontId="0" fillId="4" borderId="0" xfId="0" applyFont="1" applyFill="1" applyAlignment="1">
      <alignment vertical="top" wrapText="1"/>
    </xf>
    <xf numFmtId="0" fontId="0" fillId="5" borderId="0" xfId="0" applyFill="1" applyAlignment="1">
      <alignment vertical="top" wrapText="1"/>
    </xf>
    <xf numFmtId="0" fontId="0" fillId="4" borderId="0" xfId="0" applyFill="1" applyAlignment="1">
      <alignment vertical="top" wrapText="1"/>
    </xf>
    <xf numFmtId="0" fontId="0" fillId="4" borderId="0" xfId="0" applyFill="1" applyAlignment="1">
      <alignment vertical="center" wrapText="1"/>
    </xf>
    <xf numFmtId="0" fontId="0" fillId="0" borderId="0" xfId="0" applyAlignment="1">
      <alignment wrapText="1"/>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9" fontId="0" fillId="0" borderId="0" xfId="0" applyNumberFormat="1" applyAlignment="1">
      <alignment vertical="center" wrapText="1"/>
    </xf>
    <xf numFmtId="9" fontId="0" fillId="4" borderId="0" xfId="0" applyNumberFormat="1" applyFont="1" applyFill="1" applyAlignment="1">
      <alignment vertical="center" wrapText="1"/>
    </xf>
    <xf numFmtId="9" fontId="0" fillId="4" borderId="0" xfId="0" applyNumberFormat="1" applyFill="1" applyAlignment="1">
      <alignment vertical="center" wrapText="1"/>
    </xf>
    <xf numFmtId="9" fontId="1" fillId="3" borderId="0" xfId="0" applyNumberFormat="1" applyFont="1" applyFill="1" applyAlignment="1">
      <alignment vertical="center" wrapText="1"/>
    </xf>
    <xf numFmtId="0" fontId="3" fillId="6" borderId="1" xfId="1" applyFont="1" applyFill="1" applyBorder="1" applyAlignment="1">
      <alignment horizontal="center" vertical="center" wrapText="1"/>
    </xf>
    <xf numFmtId="0" fontId="1" fillId="0" borderId="0" xfId="0" applyFont="1"/>
    <xf numFmtId="9" fontId="0" fillId="0" borderId="0" xfId="0" applyNumberFormat="1"/>
    <xf numFmtId="0" fontId="5" fillId="0" borderId="0" xfId="0" applyFont="1"/>
    <xf numFmtId="0" fontId="7" fillId="0" borderId="0" xfId="0" applyFont="1"/>
    <xf numFmtId="0" fontId="6" fillId="0" borderId="0" xfId="0" applyFont="1"/>
    <xf numFmtId="0" fontId="7" fillId="0" borderId="0" xfId="0" applyFont="1" applyAlignment="1">
      <alignment vertical="center"/>
    </xf>
    <xf numFmtId="0" fontId="7" fillId="0" borderId="0" xfId="0" applyFont="1" applyAlignment="1">
      <alignment vertical="center" wrapText="1"/>
    </xf>
    <xf numFmtId="0" fontId="0" fillId="0" borderId="6" xfId="0" applyFill="1" applyBorder="1" applyAlignment="1">
      <alignment vertical="center"/>
    </xf>
    <xf numFmtId="0" fontId="5" fillId="0" borderId="0" xfId="0" applyFont="1" applyBorder="1"/>
    <xf numFmtId="0" fontId="8" fillId="0" borderId="0" xfId="2"/>
    <xf numFmtId="0" fontId="9" fillId="8" borderId="0" xfId="2" applyFont="1" applyFill="1"/>
    <xf numFmtId="0" fontId="10" fillId="8" borderId="0" xfId="2" applyFont="1" applyFill="1"/>
    <xf numFmtId="0" fontId="11" fillId="8" borderId="0" xfId="2" applyFont="1" applyFill="1" applyAlignment="1">
      <alignment horizontal="right"/>
    </xf>
    <xf numFmtId="0" fontId="12" fillId="8" borderId="0" xfId="2" applyFont="1" applyFill="1"/>
    <xf numFmtId="0" fontId="11" fillId="8" borderId="0" xfId="2" applyFont="1" applyFill="1"/>
    <xf numFmtId="0" fontId="10" fillId="8" borderId="0" xfId="2" applyFont="1" applyFill="1" applyBorder="1" applyAlignment="1">
      <alignment horizontal="left" vertical="top"/>
    </xf>
    <xf numFmtId="0" fontId="8" fillId="8" borderId="0" xfId="2" applyFont="1" applyFill="1"/>
    <xf numFmtId="0" fontId="12" fillId="8" borderId="0" xfId="2" applyFont="1" applyFill="1" applyBorder="1"/>
    <xf numFmtId="0" fontId="14" fillId="8" borderId="0" xfId="3" applyFill="1" applyBorder="1" applyAlignment="1" applyProtection="1">
      <protection locked="0"/>
    </xf>
    <xf numFmtId="0" fontId="10" fillId="0" borderId="0" xfId="2" applyFont="1" applyAlignment="1">
      <alignment horizontal="right" vertical="top"/>
    </xf>
    <xf numFmtId="0" fontId="17" fillId="0" borderId="0" xfId="2" applyFont="1" applyAlignment="1">
      <alignment horizontal="left" vertical="top" wrapText="1"/>
    </xf>
    <xf numFmtId="0" fontId="18" fillId="0" borderId="0" xfId="2" applyFont="1" applyAlignment="1">
      <alignment horizontal="right" vertical="top"/>
    </xf>
    <xf numFmtId="0" fontId="19" fillId="0" borderId="0" xfId="2" applyFont="1"/>
    <xf numFmtId="0" fontId="19" fillId="0" borderId="0" xfId="2" applyFont="1" applyAlignment="1">
      <alignment horizontal="left" vertical="top" wrapText="1"/>
    </xf>
    <xf numFmtId="0" fontId="10" fillId="0" borderId="0" xfId="2" applyFont="1"/>
    <xf numFmtId="0" fontId="20" fillId="0" borderId="0" xfId="3" applyFont="1" applyAlignment="1" applyProtection="1"/>
    <xf numFmtId="0" fontId="8" fillId="0" borderId="0" xfId="2" applyAlignment="1"/>
    <xf numFmtId="9" fontId="1" fillId="3" borderId="0" xfId="0" applyNumberFormat="1" applyFont="1" applyFill="1" applyAlignment="1">
      <alignment horizontal="center" vertical="center" wrapText="1"/>
    </xf>
    <xf numFmtId="0" fontId="1" fillId="0" borderId="0" xfId="0" applyFont="1" applyAlignment="1">
      <alignment horizontal="center" vertical="center" wrapText="1"/>
    </xf>
    <xf numFmtId="9" fontId="1" fillId="4" borderId="0" xfId="0" applyNumberFormat="1" applyFont="1" applyFill="1" applyAlignment="1">
      <alignment horizontal="center" vertical="center" wrapText="1"/>
    </xf>
    <xf numFmtId="0" fontId="1" fillId="5" borderId="0" xfId="0" applyFont="1" applyFill="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center" vertical="center" wrapText="1"/>
    </xf>
    <xf numFmtId="0" fontId="0" fillId="0" borderId="0" xfId="0" applyFont="1"/>
    <xf numFmtId="0" fontId="26" fillId="0" borderId="0" xfId="2" applyFont="1" applyAlignment="1">
      <alignment horizontal="left" vertical="top" wrapText="1"/>
    </xf>
    <xf numFmtId="0" fontId="27" fillId="0" borderId="0" xfId="2" applyFont="1" applyAlignment="1">
      <alignment horizontal="left" vertical="top" wrapText="1"/>
    </xf>
    <xf numFmtId="0" fontId="28" fillId="0" borderId="0" xfId="0" applyFont="1"/>
    <xf numFmtId="0" fontId="7" fillId="0" borderId="0" xfId="0" applyFont="1" applyFill="1" applyAlignment="1"/>
    <xf numFmtId="0" fontId="0" fillId="0" borderId="0" xfId="0" applyAlignment="1">
      <alignment horizontal="right" vertical="center"/>
    </xf>
    <xf numFmtId="0" fontId="29" fillId="2" borderId="0" xfId="1" applyFont="1" applyBorder="1" applyAlignment="1">
      <alignment horizontal="left" vertical="center" wrapText="1"/>
    </xf>
    <xf numFmtId="0" fontId="1" fillId="13"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9" fontId="0" fillId="0" borderId="7" xfId="0" applyNumberFormat="1" applyBorder="1"/>
    <xf numFmtId="9" fontId="0" fillId="0" borderId="3" xfId="0" applyNumberFormat="1" applyBorder="1"/>
    <xf numFmtId="9" fontId="0" fillId="0" borderId="4" xfId="0" applyNumberFormat="1" applyBorder="1"/>
    <xf numFmtId="9" fontId="0" fillId="0" borderId="2" xfId="0" applyNumberFormat="1" applyBorder="1"/>
    <xf numFmtId="0" fontId="1" fillId="3" borderId="5" xfId="0" applyFont="1" applyFill="1" applyBorder="1"/>
    <xf numFmtId="0" fontId="1" fillId="3" borderId="8" xfId="0" applyFont="1" applyFill="1" applyBorder="1"/>
    <xf numFmtId="0" fontId="1" fillId="3" borderId="6" xfId="0" applyFont="1" applyFill="1" applyBorder="1"/>
    <xf numFmtId="0" fontId="1" fillId="13" borderId="1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0" fillId="0" borderId="3" xfId="0" applyFont="1" applyBorder="1" applyAlignment="1">
      <alignment vertical="center"/>
    </xf>
    <xf numFmtId="0" fontId="0" fillId="0" borderId="0" xfId="0" applyNumberFormat="1" applyFont="1" applyAlignment="1">
      <alignment vertical="center"/>
    </xf>
    <xf numFmtId="0" fontId="0" fillId="0" borderId="2" xfId="0" applyFont="1" applyBorder="1" applyAlignment="1">
      <alignment vertical="center"/>
    </xf>
    <xf numFmtId="0" fontId="0" fillId="0" borderId="2" xfId="0" applyNumberFormat="1" applyFont="1" applyBorder="1" applyAlignment="1">
      <alignment vertical="center"/>
    </xf>
    <xf numFmtId="0" fontId="0" fillId="0" borderId="4" xfId="0" applyFont="1" applyBorder="1" applyAlignment="1">
      <alignment vertical="center"/>
    </xf>
    <xf numFmtId="0" fontId="0" fillId="0" borderId="7" xfId="0" applyNumberFormat="1" applyFont="1" applyBorder="1" applyAlignment="1">
      <alignment vertical="center"/>
    </xf>
    <xf numFmtId="0" fontId="0" fillId="0" borderId="3" xfId="0" applyNumberFormat="1" applyFont="1" applyBorder="1" applyAlignment="1">
      <alignment vertical="center"/>
    </xf>
    <xf numFmtId="0" fontId="0" fillId="0" borderId="12" xfId="0" applyNumberFormat="1" applyFont="1" applyBorder="1" applyAlignment="1">
      <alignment vertical="center"/>
    </xf>
    <xf numFmtId="0" fontId="0" fillId="0" borderId="4" xfId="0" applyNumberFormat="1" applyFont="1" applyBorder="1" applyAlignment="1">
      <alignment vertical="center"/>
    </xf>
    <xf numFmtId="0" fontId="0" fillId="0" borderId="12" xfId="0" applyBorder="1" applyAlignment="1">
      <alignment horizontal="center" vertical="center" wrapText="1"/>
    </xf>
    <xf numFmtId="0" fontId="30" fillId="0" borderId="8" xfId="0" applyFont="1" applyBorder="1" applyAlignment="1">
      <alignment vertical="center" wrapText="1"/>
    </xf>
    <xf numFmtId="0" fontId="0" fillId="0" borderId="0" xfId="0" applyFont="1" applyAlignment="1">
      <alignment horizontal="right" vertical="center"/>
    </xf>
    <xf numFmtId="0" fontId="3" fillId="18" borderId="1" xfId="1" applyFont="1" applyFill="1" applyBorder="1" applyAlignment="1">
      <alignment horizontal="center" vertical="center" wrapText="1"/>
    </xf>
    <xf numFmtId="0" fontId="1" fillId="17" borderId="11" xfId="0" applyFont="1" applyFill="1" applyBorder="1" applyAlignment="1">
      <alignment horizontal="center" vertical="center" wrapText="1"/>
    </xf>
    <xf numFmtId="0" fontId="0" fillId="0" borderId="0" xfId="0" applyAlignment="1" applyProtection="1">
      <alignment vertical="center" wrapText="1"/>
      <protection locked="0"/>
    </xf>
    <xf numFmtId="0" fontId="7"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Protection="1">
      <protection locked="0"/>
    </xf>
    <xf numFmtId="0" fontId="6" fillId="0" borderId="0" xfId="0" applyFont="1" applyAlignment="1" applyProtection="1">
      <alignment horizontal="right" vertical="center"/>
      <protection locked="0"/>
    </xf>
    <xf numFmtId="0" fontId="33" fillId="5" borderId="0" xfId="0" applyFont="1" applyFill="1" applyAlignment="1">
      <alignment vertical="center" wrapText="1"/>
    </xf>
    <xf numFmtId="0" fontId="33" fillId="0" borderId="0" xfId="0" applyFont="1" applyAlignment="1">
      <alignment vertical="center" wrapText="1"/>
    </xf>
    <xf numFmtId="0" fontId="33" fillId="0" borderId="0" xfId="0" applyFont="1" applyAlignment="1">
      <alignment horizontal="left" vertical="center" wrapText="1"/>
    </xf>
    <xf numFmtId="0" fontId="0" fillId="19" borderId="0" xfId="0" applyFill="1" applyAlignment="1" applyProtection="1">
      <alignment vertical="center" wrapText="1"/>
      <protection locked="0"/>
    </xf>
    <xf numFmtId="15" fontId="19" fillId="0" borderId="0" xfId="2" applyNumberFormat="1" applyFont="1" applyAlignment="1">
      <alignment vertical="top" wrapText="1"/>
    </xf>
    <xf numFmtId="0" fontId="15" fillId="0" borderId="0" xfId="2" applyFont="1"/>
    <xf numFmtId="14" fontId="6" fillId="0" borderId="0" xfId="0" applyNumberFormat="1" applyFont="1" applyAlignment="1" applyProtection="1">
      <alignment horizontal="right" vertical="center"/>
      <protection locked="0"/>
    </xf>
    <xf numFmtId="0" fontId="33" fillId="0" borderId="0" xfId="0" applyFont="1" applyAlignment="1" applyProtection="1">
      <alignment vertical="center" wrapText="1"/>
      <protection locked="0"/>
    </xf>
    <xf numFmtId="0" fontId="10" fillId="0" borderId="0" xfId="2" applyFont="1" applyAlignment="1">
      <alignment horizontal="left" vertical="top"/>
    </xf>
    <xf numFmtId="0" fontId="19" fillId="0" borderId="0" xfId="2" applyFont="1" applyAlignment="1">
      <alignment horizontal="left" vertical="top" wrapText="1"/>
    </xf>
    <xf numFmtId="0" fontId="3" fillId="15" borderId="10" xfId="1" applyFont="1" applyFill="1" applyBorder="1" applyAlignment="1">
      <alignment horizontal="center" vertical="center" wrapText="1"/>
    </xf>
    <xf numFmtId="0" fontId="1" fillId="7" borderId="0" xfId="0" applyFont="1" applyFill="1" applyAlignment="1">
      <alignment horizontal="center" vertical="center" wrapText="1"/>
    </xf>
    <xf numFmtId="0" fontId="1" fillId="20" borderId="0" xfId="0" applyFont="1" applyFill="1" applyAlignment="1">
      <alignment horizontal="center" vertical="center" wrapText="1"/>
    </xf>
    <xf numFmtId="0" fontId="0" fillId="0" borderId="0" xfId="0" applyFont="1" applyBorder="1" applyAlignment="1">
      <alignment vertical="center"/>
    </xf>
    <xf numFmtId="0" fontId="0" fillId="0" borderId="0" xfId="0" applyFont="1" applyFill="1" applyBorder="1"/>
    <xf numFmtId="0" fontId="1" fillId="0" borderId="0" xfId="0" applyFont="1" applyFill="1" applyBorder="1" applyAlignment="1">
      <alignment horizontal="center" vertical="center" wrapText="1"/>
    </xf>
    <xf numFmtId="0" fontId="0" fillId="0" borderId="0" xfId="0" applyNumberFormat="1" applyFont="1" applyFill="1" applyBorder="1" applyAlignment="1">
      <alignment vertical="center"/>
    </xf>
    <xf numFmtId="0" fontId="26" fillId="0" borderId="0" xfId="2" applyFont="1" applyFill="1" applyBorder="1" applyAlignment="1">
      <alignment horizontal="left" vertical="top" wrapText="1"/>
    </xf>
    <xf numFmtId="0" fontId="27" fillId="0" borderId="0" xfId="2" applyFont="1" applyFill="1" applyBorder="1" applyAlignment="1">
      <alignment horizontal="left" vertical="top" wrapText="1"/>
    </xf>
    <xf numFmtId="0" fontId="0" fillId="0" borderId="14" xfId="0" applyFont="1" applyBorder="1" applyAlignment="1">
      <alignment vertical="center"/>
    </xf>
    <xf numFmtId="0" fontId="0" fillId="0" borderId="0" xfId="0" applyNumberFormat="1" applyFont="1" applyBorder="1" applyAlignment="1">
      <alignment vertical="center"/>
    </xf>
    <xf numFmtId="0" fontId="0" fillId="0" borderId="12" xfId="0" applyFont="1" applyBorder="1" applyAlignment="1">
      <alignment vertical="center"/>
    </xf>
    <xf numFmtId="0" fontId="1" fillId="0" borderId="0" xfId="0" applyFont="1" applyFill="1" applyBorder="1" applyAlignment="1">
      <alignment vertical="center" wrapText="1"/>
    </xf>
    <xf numFmtId="0" fontId="15" fillId="0" borderId="0" xfId="2" quotePrefix="1" applyFont="1" applyAlignment="1">
      <alignment horizontal="right" vertical="top"/>
    </xf>
    <xf numFmtId="0" fontId="15" fillId="0" borderId="0" xfId="2" applyFont="1" applyAlignment="1">
      <alignment horizontal="right" vertical="top"/>
    </xf>
    <xf numFmtId="0" fontId="16" fillId="0" borderId="0" xfId="2" applyFont="1" applyAlignment="1">
      <alignment horizontal="left" vertical="top" wrapText="1"/>
    </xf>
    <xf numFmtId="0" fontId="13" fillId="8" borderId="0" xfId="2" applyFont="1" applyFill="1" applyBorder="1" applyAlignment="1">
      <alignment horizontal="left" vertical="top" wrapText="1"/>
    </xf>
    <xf numFmtId="0" fontId="17" fillId="0" borderId="0" xfId="2" applyFont="1" applyAlignment="1">
      <alignment horizontal="left" vertical="top" wrapText="1"/>
    </xf>
    <xf numFmtId="0" fontId="10" fillId="0" borderId="0" xfId="2" applyFont="1" applyAlignment="1">
      <alignment horizontal="left" vertical="top"/>
    </xf>
    <xf numFmtId="0" fontId="19" fillId="0" borderId="0" xfId="2" applyFont="1" applyAlignment="1">
      <alignment horizontal="left" vertical="top" wrapText="1"/>
    </xf>
    <xf numFmtId="0" fontId="16" fillId="0" borderId="0" xfId="2" applyNumberFormat="1" applyFont="1" applyFill="1" applyAlignment="1">
      <alignment horizontal="left" vertical="top" wrapText="1"/>
    </xf>
    <xf numFmtId="0" fontId="17" fillId="0" borderId="0" xfId="2" applyFont="1" applyAlignment="1">
      <alignment horizontal="left" vertical="center" wrapText="1"/>
    </xf>
    <xf numFmtId="0" fontId="15" fillId="0" borderId="0" xfId="2" quotePrefix="1" applyFont="1" applyAlignment="1">
      <alignment horizontal="right" vertical="top"/>
    </xf>
    <xf numFmtId="0" fontId="7" fillId="14" borderId="0" xfId="0" applyFont="1" applyFill="1" applyAlignment="1">
      <alignment horizontal="left" vertical="center"/>
    </xf>
    <xf numFmtId="0" fontId="7" fillId="14" borderId="0" xfId="0" applyFont="1" applyFill="1" applyAlignment="1">
      <alignment horizontal="left" vertical="center" wrapText="1"/>
    </xf>
    <xf numFmtId="0" fontId="1" fillId="16" borderId="13"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 fillId="16" borderId="7" xfId="0" applyFont="1" applyFill="1" applyBorder="1" applyAlignment="1">
      <alignment horizontal="center" vertical="center" wrapText="1"/>
    </xf>
  </cellXfs>
  <cellStyles count="13">
    <cellStyle name="Category Summary Content" xfId="4"/>
    <cellStyle name="Category Summary Headings" xfId="1"/>
    <cellStyle name="Editable Cell" xfId="5"/>
    <cellStyle name="Hyperlink" xfId="3" builtinId="8"/>
    <cellStyle name="Normal" xfId="0" builtinId="0"/>
    <cellStyle name="Normal 2" xfId="2"/>
    <cellStyle name="Page Summary Content" xfId="6"/>
    <cellStyle name="Page Summary Headings" xfId="7"/>
    <cellStyle name="Page Title Content" xfId="8"/>
    <cellStyle name="Sub-Category Summary Headings" xfId="9"/>
    <cellStyle name="Sub-Category Test Headings" xfId="10"/>
    <cellStyle name="Total Summary Headings" xfId="11"/>
    <cellStyle name="Total Summary Values" xfId="12"/>
  </cellStyles>
  <dxfs count="274">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00B0F0"/>
        </patternFill>
      </fill>
    </dxf>
    <dxf>
      <fill>
        <patternFill patternType="solid">
          <bgColor rgb="FFFF0000"/>
        </patternFill>
      </fill>
    </dxf>
    <dxf>
      <fill>
        <patternFill>
          <bgColor rgb="FF92D050"/>
        </patternFill>
      </fill>
    </dxf>
    <dxf>
      <fill>
        <patternFill>
          <bgColor rgb="FF00B0F0"/>
        </patternFill>
      </fill>
    </dxf>
    <dxf>
      <fill>
        <patternFill patternType="none">
          <bgColor auto="1"/>
        </patternFill>
      </fill>
    </dxf>
    <dxf>
      <fill>
        <patternFill>
          <bgColor rgb="FFFFFF00"/>
        </patternFill>
      </fill>
    </dxf>
    <dxf>
      <fill>
        <patternFill patternType="solid">
          <bgColor rgb="FFFF0000"/>
        </patternFill>
      </fill>
    </dxf>
    <dxf>
      <fill>
        <patternFill>
          <bgColor rgb="FF92D050"/>
        </patternFill>
      </fill>
    </dxf>
    <dxf>
      <fill>
        <patternFill>
          <bgColor rgb="FF00B0F0"/>
        </patternFill>
      </fill>
    </dxf>
    <dxf>
      <fill>
        <patternFill patternType="none">
          <bgColor auto="1"/>
        </patternFill>
      </fill>
    </dxf>
    <dxf>
      <fill>
        <patternFill>
          <bgColor rgb="FFFFFF00"/>
        </patternFill>
      </fill>
    </dxf>
    <dxf>
      <fill>
        <patternFill patternType="solid">
          <bgColor rgb="FFFF0000"/>
        </patternFill>
      </fill>
    </dxf>
    <dxf>
      <fill>
        <patternFill>
          <bgColor rgb="FF92D050"/>
        </patternFill>
      </fill>
    </dxf>
    <dxf>
      <fill>
        <patternFill>
          <bgColor rgb="FF00B0F0"/>
        </patternFill>
      </fill>
    </dxf>
    <dxf>
      <fill>
        <patternFill patternType="none">
          <bgColor auto="1"/>
        </patternFill>
      </fill>
    </dxf>
    <dxf>
      <fill>
        <patternFill>
          <bgColor rgb="FFFFFF0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00B0F0"/>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bgColor rgb="FFFFFF00"/>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bgColor rgb="FFFFFF0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patternType="none">
          <bgColor auto="1"/>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patternType="none">
          <bgColor auto="1"/>
        </patternFill>
      </fill>
    </dxf>
    <dxf>
      <fill>
        <patternFill patternType="none">
          <bgColor auto="1"/>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00B0F0"/>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bgColor rgb="FFFFFF00"/>
        </patternFill>
      </fill>
    </dxf>
    <dxf>
      <fill>
        <patternFill patternType="solid">
          <bgColor rgb="FFFF0000"/>
        </patternFill>
      </fill>
    </dxf>
    <dxf>
      <fill>
        <patternFill>
          <bgColor rgb="FF92D050"/>
        </patternFill>
      </fill>
    </dxf>
    <dxf>
      <fill>
        <patternFill>
          <bgColor rgb="FF00B0F0"/>
        </patternFill>
      </fill>
    </dxf>
    <dxf>
      <fill>
        <patternFill patternType="none">
          <bgColor auto="1"/>
        </patternFill>
      </fill>
    </dxf>
    <dxf>
      <fill>
        <patternFill>
          <bgColor rgb="FFFFFF00"/>
        </patternFill>
      </fill>
    </dxf>
    <dxf>
      <fill>
        <patternFill patternType="solid">
          <bgColor rgb="FFFF0000"/>
        </patternFill>
      </fill>
    </dxf>
    <dxf>
      <fill>
        <patternFill>
          <bgColor rgb="FF92D050"/>
        </patternFill>
      </fill>
    </dxf>
    <dxf>
      <fill>
        <patternFill>
          <bgColor rgb="FF00B0F0"/>
        </patternFill>
      </fill>
    </dxf>
    <dxf>
      <fill>
        <patternFill patternType="none">
          <bgColor auto="1"/>
        </patternFill>
      </fill>
    </dxf>
    <dxf>
      <fill>
        <patternFill>
          <bgColor rgb="FFFFFF00"/>
        </patternFill>
      </fill>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ont>
        <color auto="1"/>
      </font>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ont>
        <color auto="1"/>
      </font>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ont>
        <color auto="1"/>
      </font>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ont>
        <color auto="1"/>
      </font>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ont>
        <color auto="1"/>
      </font>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00B0F0"/>
        </patternFill>
      </fill>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92D050"/>
        </patternFill>
      </fill>
      <border>
        <left/>
        <right/>
        <top/>
        <bottom/>
      </border>
    </dxf>
    <dxf>
      <fill>
        <patternFill>
          <bgColor rgb="FFFFFF0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FF00"/>
        </patternFill>
      </fill>
      <border>
        <left/>
        <right/>
        <top/>
        <bottom/>
      </border>
    </dxf>
  </dxfs>
  <tableStyles count="0" defaultTableStyle="TableStyleMedium2" defaultPivotStyle="PivotStyleLight16"/>
  <colors>
    <mruColors>
      <color rgb="FFFFCC00"/>
      <color rgb="FFCDF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54371392876303"/>
          <c:y val="8.9190167018596361E-2"/>
          <c:w val="0.44894155411499231"/>
          <c:h val="0.82711971081134239"/>
        </c:manualLayout>
      </c:layout>
      <c:radarChart>
        <c:radarStyle val="filled"/>
        <c:varyColors val="0"/>
        <c:ser>
          <c:idx val="2"/>
          <c:order val="0"/>
          <c:tx>
            <c:strRef>
              <c:f>'Conditional answers'!$N$4</c:f>
              <c:strCache>
                <c:ptCount val="1"/>
                <c:pt idx="0">
                  <c:v>Cloud service DOES NOT satisfy</c:v>
                </c:pt>
              </c:strCache>
            </c:strRef>
          </c:tx>
          <c:spPr>
            <a:solidFill>
              <a:srgbClr val="FF6600">
                <a:alpha val="33000"/>
              </a:srgbClr>
            </a:solidFill>
            <a:ln w="25400">
              <a:noFill/>
            </a:ln>
          </c:spPr>
          <c:cat>
            <c:strRef>
              <c:f>Overview!$B$5:$B$8</c:f>
              <c:strCache>
                <c:ptCount val="4"/>
                <c:pt idx="0">
                  <c:v>Governance</c:v>
                </c:pt>
                <c:pt idx="1">
                  <c:v>IAM</c:v>
                </c:pt>
                <c:pt idx="2">
                  <c:v>IT Security</c:v>
                </c:pt>
                <c:pt idx="3">
                  <c:v>Operational Security</c:v>
                </c:pt>
              </c:strCache>
            </c:strRef>
          </c:cat>
          <c:val>
            <c:numRef>
              <c:f>Overview!$A$5:$A$8</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DBEF-43A9-9AE0-C3702FE00538}"/>
            </c:ext>
          </c:extLst>
        </c:ser>
        <c:ser>
          <c:idx val="0"/>
          <c:order val="1"/>
          <c:tx>
            <c:strRef>
              <c:f>'Conditional answers'!$N$3</c:f>
              <c:strCache>
                <c:ptCount val="1"/>
                <c:pt idx="0">
                  <c:v>Cloud service MAY satisfy</c:v>
                </c:pt>
              </c:strCache>
            </c:strRef>
          </c:tx>
          <c:spPr>
            <a:solidFill>
              <a:srgbClr val="FFFF99"/>
            </a:solidFill>
            <a:ln w="25400">
              <a:noFill/>
            </a:ln>
          </c:spPr>
          <c:cat>
            <c:strRef>
              <c:f>Overview!$B$5:$B$8</c:f>
              <c:strCache>
                <c:ptCount val="4"/>
                <c:pt idx="0">
                  <c:v>Governance</c:v>
                </c:pt>
                <c:pt idx="1">
                  <c:v>IAM</c:v>
                </c:pt>
                <c:pt idx="2">
                  <c:v>IT Security</c:v>
                </c:pt>
                <c:pt idx="3">
                  <c:v>Operational Security</c:v>
                </c:pt>
              </c:strCache>
            </c:strRef>
          </c:cat>
          <c:val>
            <c:numRef>
              <c:f>Overview!$D$5:$D$8</c:f>
              <c:numCache>
                <c:formatCode>0%</c:formatCode>
                <c:ptCount val="4"/>
                <c:pt idx="0">
                  <c:v>0</c:v>
                </c:pt>
                <c:pt idx="1">
                  <c:v>0</c:v>
                </c:pt>
                <c:pt idx="2">
                  <c:v>0</c:v>
                </c:pt>
                <c:pt idx="3">
                  <c:v>0</c:v>
                </c:pt>
              </c:numCache>
            </c:numRef>
          </c:val>
          <c:extLst>
            <c:ext xmlns:c16="http://schemas.microsoft.com/office/drawing/2014/chart" uri="{C3380CC4-5D6E-409C-BE32-E72D297353CC}">
              <c16:uniqueId val="{00000001-DBEF-43A9-9AE0-C3702FE00538}"/>
            </c:ext>
          </c:extLst>
        </c:ser>
        <c:ser>
          <c:idx val="1"/>
          <c:order val="2"/>
          <c:tx>
            <c:strRef>
              <c:f>'Conditional answers'!$N$2</c:f>
              <c:strCache>
                <c:ptCount val="1"/>
                <c:pt idx="0">
                  <c:v>Cloud service DOES satisfy</c:v>
                </c:pt>
              </c:strCache>
            </c:strRef>
          </c:tx>
          <c:spPr>
            <a:solidFill>
              <a:srgbClr val="99FF99"/>
            </a:solidFill>
            <a:ln w="28575">
              <a:noFill/>
            </a:ln>
          </c:spPr>
          <c:cat>
            <c:strRef>
              <c:f>Overview!$B$5:$B$8</c:f>
              <c:strCache>
                <c:ptCount val="4"/>
                <c:pt idx="0">
                  <c:v>Governance</c:v>
                </c:pt>
                <c:pt idx="1">
                  <c:v>IAM</c:v>
                </c:pt>
                <c:pt idx="2">
                  <c:v>IT Security</c:v>
                </c:pt>
                <c:pt idx="3">
                  <c:v>Operational Security</c:v>
                </c:pt>
              </c:strCache>
            </c:strRef>
          </c:cat>
          <c:val>
            <c:numRef>
              <c:f>Overview!$C$5:$C$8</c:f>
              <c:numCache>
                <c:formatCode>0%</c:formatCode>
                <c:ptCount val="4"/>
                <c:pt idx="0">
                  <c:v>0</c:v>
                </c:pt>
                <c:pt idx="1">
                  <c:v>0</c:v>
                </c:pt>
                <c:pt idx="2">
                  <c:v>0</c:v>
                </c:pt>
                <c:pt idx="3">
                  <c:v>0</c:v>
                </c:pt>
              </c:numCache>
            </c:numRef>
          </c:val>
          <c:extLst>
            <c:ext xmlns:c16="http://schemas.microsoft.com/office/drawing/2014/chart" uri="{C3380CC4-5D6E-409C-BE32-E72D297353CC}">
              <c16:uniqueId val="{00000002-DBEF-43A9-9AE0-C3702FE00538}"/>
            </c:ext>
          </c:extLst>
        </c:ser>
        <c:dLbls>
          <c:showLegendKey val="0"/>
          <c:showVal val="0"/>
          <c:showCatName val="0"/>
          <c:showSerName val="0"/>
          <c:showPercent val="0"/>
          <c:showBubbleSize val="0"/>
        </c:dLbls>
        <c:axId val="176671744"/>
        <c:axId val="180790016"/>
      </c:radarChart>
      <c:catAx>
        <c:axId val="176671744"/>
        <c:scaling>
          <c:orientation val="minMax"/>
        </c:scaling>
        <c:delete val="0"/>
        <c:axPos val="b"/>
        <c:majorGridlines/>
        <c:numFmt formatCode="General" sourceLinked="0"/>
        <c:majorTickMark val="out"/>
        <c:minorTickMark val="none"/>
        <c:tickLblPos val="nextTo"/>
        <c:txPr>
          <a:bodyPr rot="0"/>
          <a:lstStyle/>
          <a:p>
            <a:pPr>
              <a:defRPr/>
            </a:pPr>
            <a:endParaRPr lang="nl-NL"/>
          </a:p>
        </c:txPr>
        <c:crossAx val="180790016"/>
        <c:crosses val="autoZero"/>
        <c:auto val="1"/>
        <c:lblAlgn val="ctr"/>
        <c:lblOffset val="100"/>
        <c:noMultiLvlLbl val="0"/>
      </c:catAx>
      <c:valAx>
        <c:axId val="180790016"/>
        <c:scaling>
          <c:orientation val="minMax"/>
          <c:max val="1"/>
          <c:min val="0"/>
        </c:scaling>
        <c:delete val="1"/>
        <c:axPos val="l"/>
        <c:majorGridlines/>
        <c:numFmt formatCode="General" sourceLinked="1"/>
        <c:majorTickMark val="cross"/>
        <c:minorTickMark val="none"/>
        <c:tickLblPos val="nextTo"/>
        <c:crossAx val="176671744"/>
        <c:crosses val="autoZero"/>
        <c:crossBetween val="between"/>
        <c:majorUnit val="0.2"/>
        <c:minorUnit val="0.2"/>
      </c:valAx>
      <c:spPr>
        <a:noFill/>
      </c:spPr>
    </c:plotArea>
    <c:legend>
      <c:legendPos val="r"/>
      <c:layout>
        <c:manualLayout>
          <c:xMode val="edge"/>
          <c:yMode val="edge"/>
          <c:x val="0.63063798011164096"/>
          <c:y val="0.73582091712220188"/>
          <c:w val="0.35472182174411299"/>
          <c:h val="0.18128233970753657"/>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64657298350551E-2"/>
          <c:y val="0.10026397542763812"/>
          <c:w val="0.43810159935092297"/>
          <c:h val="0.84626126809317592"/>
        </c:manualLayout>
      </c:layout>
      <c:radarChart>
        <c:radarStyle val="marker"/>
        <c:varyColors val="0"/>
        <c:ser>
          <c:idx val="0"/>
          <c:order val="0"/>
          <c:spPr>
            <a:ln w="38100">
              <a:solidFill>
                <a:schemeClr val="tx1"/>
              </a:solidFill>
            </a:ln>
          </c:spPr>
          <c:marker>
            <c:symbol val="circle"/>
            <c:size val="9"/>
            <c:spPr>
              <a:solidFill>
                <a:schemeClr val="tx1"/>
              </a:solidFill>
              <a:ln>
                <a:solidFill>
                  <a:schemeClr val="tx1"/>
                </a:solidFill>
              </a:ln>
            </c:spPr>
          </c:marker>
          <c:cat>
            <c:numRef>
              <c:f>Overview!$E$5:$E$8</c:f>
              <c:numCache>
                <c:formatCode>General</c:formatCode>
                <c:ptCount val="4"/>
              </c:numCache>
            </c:numRef>
          </c:cat>
          <c:val>
            <c:numRef>
              <c:f>Overview!$F$5:$F$8</c:f>
              <c:numCache>
                <c:formatCode>General</c:formatCode>
                <c:ptCount val="4"/>
              </c:numCache>
            </c:numRef>
          </c:val>
          <c:extLst>
            <c:ext xmlns:c16="http://schemas.microsoft.com/office/drawing/2014/chart" uri="{C3380CC4-5D6E-409C-BE32-E72D297353CC}">
              <c16:uniqueId val="{00000000-AE93-4016-9E58-00697599B90B}"/>
            </c:ext>
          </c:extLst>
        </c:ser>
        <c:dLbls>
          <c:showLegendKey val="0"/>
          <c:showVal val="0"/>
          <c:showCatName val="0"/>
          <c:showSerName val="0"/>
          <c:showPercent val="0"/>
          <c:showBubbleSize val="0"/>
        </c:dLbls>
        <c:axId val="180805632"/>
        <c:axId val="180807552"/>
      </c:radarChart>
      <c:catAx>
        <c:axId val="180805632"/>
        <c:scaling>
          <c:orientation val="minMax"/>
        </c:scaling>
        <c:delete val="1"/>
        <c:axPos val="b"/>
        <c:majorGridlines/>
        <c:numFmt formatCode="General" sourceLinked="1"/>
        <c:majorTickMark val="out"/>
        <c:minorTickMark val="none"/>
        <c:tickLblPos val="nextTo"/>
        <c:crossAx val="180807552"/>
        <c:crosses val="autoZero"/>
        <c:auto val="1"/>
        <c:lblAlgn val="ctr"/>
        <c:lblOffset val="100"/>
        <c:noMultiLvlLbl val="0"/>
      </c:catAx>
      <c:valAx>
        <c:axId val="180807552"/>
        <c:scaling>
          <c:orientation val="minMax"/>
          <c:max val="1"/>
          <c:min val="0"/>
        </c:scaling>
        <c:delete val="0"/>
        <c:axPos val="l"/>
        <c:majorGridlines/>
        <c:numFmt formatCode="0%" sourceLinked="0"/>
        <c:majorTickMark val="cross"/>
        <c:minorTickMark val="none"/>
        <c:tickLblPos val="nextTo"/>
        <c:crossAx val="180805632"/>
        <c:crosses val="autoZero"/>
        <c:crossBetween val="between"/>
        <c:majorUnit val="0.2"/>
        <c:minorUnit val="0.2"/>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a:noFill/>
            </a:ln>
          </c:spPr>
          <c:dPt>
            <c:idx val="0"/>
            <c:bubble3D val="0"/>
            <c:spPr>
              <a:solidFill>
                <a:srgbClr val="92D050"/>
              </a:solidFill>
              <a:ln>
                <a:noFill/>
              </a:ln>
            </c:spPr>
            <c:extLst>
              <c:ext xmlns:c16="http://schemas.microsoft.com/office/drawing/2014/chart" uri="{C3380CC4-5D6E-409C-BE32-E72D297353CC}">
                <c16:uniqueId val="{00000001-97FD-49A4-92F0-2DB5A305A83C}"/>
              </c:ext>
            </c:extLst>
          </c:dPt>
          <c:dPt>
            <c:idx val="1"/>
            <c:bubble3D val="0"/>
            <c:spPr>
              <a:solidFill>
                <a:srgbClr val="FFFF00"/>
              </a:solidFill>
              <a:ln>
                <a:noFill/>
              </a:ln>
            </c:spPr>
            <c:extLst>
              <c:ext xmlns:c16="http://schemas.microsoft.com/office/drawing/2014/chart" uri="{C3380CC4-5D6E-409C-BE32-E72D297353CC}">
                <c16:uniqueId val="{00000003-97FD-49A4-92F0-2DB5A305A83C}"/>
              </c:ext>
            </c:extLst>
          </c:dPt>
          <c:dPt>
            <c:idx val="2"/>
            <c:bubble3D val="0"/>
            <c:spPr>
              <a:solidFill>
                <a:srgbClr val="FF0000"/>
              </a:solidFill>
              <a:ln>
                <a:noFill/>
              </a:ln>
            </c:spPr>
            <c:extLst>
              <c:ext xmlns:c16="http://schemas.microsoft.com/office/drawing/2014/chart" uri="{C3380CC4-5D6E-409C-BE32-E72D297353CC}">
                <c16:uniqueId val="{00000005-97FD-49A4-92F0-2DB5A305A83C}"/>
              </c:ext>
            </c:extLst>
          </c:dPt>
          <c:dLbls>
            <c:delete val="1"/>
          </c:dLbls>
          <c:val>
            <c:numRef>
              <c:f>Overview!$H$5:$J$5</c:f>
              <c:numCache>
                <c:formatCode>General</c:formatCode>
                <c:ptCount val="3"/>
                <c:pt idx="0">
                  <c:v>0</c:v>
                </c:pt>
                <c:pt idx="1">
                  <c:v>0</c:v>
                </c:pt>
                <c:pt idx="2">
                  <c:v>0</c:v>
                </c:pt>
              </c:numCache>
            </c:numRef>
          </c:val>
          <c:extLst>
            <c:ext xmlns:c16="http://schemas.microsoft.com/office/drawing/2014/chart" uri="{C3380CC4-5D6E-409C-BE32-E72D297353CC}">
              <c16:uniqueId val="{00000006-97FD-49A4-92F0-2DB5A305A83C}"/>
            </c:ext>
          </c:extLst>
        </c:ser>
        <c:dLbls>
          <c:showLegendKey val="0"/>
          <c:showVal val="0"/>
          <c:showCatName val="1"/>
          <c:showSerName val="0"/>
          <c:showPercent val="1"/>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rgbClr val="92D050"/>
              </a:solidFill>
            </c:spPr>
            <c:extLst>
              <c:ext xmlns:c16="http://schemas.microsoft.com/office/drawing/2014/chart" uri="{C3380CC4-5D6E-409C-BE32-E72D297353CC}">
                <c16:uniqueId val="{00000001-AE2E-4D9D-8705-511C02EC7116}"/>
              </c:ext>
            </c:extLst>
          </c:dPt>
          <c:dPt>
            <c:idx val="1"/>
            <c:bubble3D val="0"/>
            <c:spPr>
              <a:solidFill>
                <a:srgbClr val="FFFF00"/>
              </a:solidFill>
            </c:spPr>
            <c:extLst>
              <c:ext xmlns:c16="http://schemas.microsoft.com/office/drawing/2014/chart" uri="{C3380CC4-5D6E-409C-BE32-E72D297353CC}">
                <c16:uniqueId val="{00000003-AE2E-4D9D-8705-511C02EC7116}"/>
              </c:ext>
            </c:extLst>
          </c:dPt>
          <c:dPt>
            <c:idx val="2"/>
            <c:bubble3D val="0"/>
            <c:spPr>
              <a:solidFill>
                <a:srgbClr val="FF0000"/>
              </a:solidFill>
            </c:spPr>
            <c:extLst>
              <c:ext xmlns:c16="http://schemas.microsoft.com/office/drawing/2014/chart" uri="{C3380CC4-5D6E-409C-BE32-E72D297353CC}">
                <c16:uniqueId val="{00000005-AE2E-4D9D-8705-511C02EC7116}"/>
              </c:ext>
            </c:extLst>
          </c:dPt>
          <c:val>
            <c:numRef>
              <c:f>Overview!$H$6:$J$6</c:f>
              <c:numCache>
                <c:formatCode>General</c:formatCode>
                <c:ptCount val="3"/>
                <c:pt idx="0">
                  <c:v>0</c:v>
                </c:pt>
                <c:pt idx="1">
                  <c:v>0</c:v>
                </c:pt>
                <c:pt idx="2">
                  <c:v>0</c:v>
                </c:pt>
              </c:numCache>
            </c:numRef>
          </c:val>
          <c:extLst>
            <c:ext xmlns:c16="http://schemas.microsoft.com/office/drawing/2014/chart" uri="{C3380CC4-5D6E-409C-BE32-E72D297353CC}">
              <c16:uniqueId val="{00000006-AE2E-4D9D-8705-511C02EC7116}"/>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FF0000"/>
            </a:solidFill>
          </c:spPr>
          <c:dPt>
            <c:idx val="0"/>
            <c:bubble3D val="0"/>
            <c:spPr>
              <a:solidFill>
                <a:srgbClr val="92D050"/>
              </a:solidFill>
            </c:spPr>
            <c:extLst>
              <c:ext xmlns:c16="http://schemas.microsoft.com/office/drawing/2014/chart" uri="{C3380CC4-5D6E-409C-BE32-E72D297353CC}">
                <c16:uniqueId val="{00000001-F2B0-4219-89BD-8DBF38941F24}"/>
              </c:ext>
            </c:extLst>
          </c:dPt>
          <c:dPt>
            <c:idx val="1"/>
            <c:bubble3D val="0"/>
            <c:spPr>
              <a:solidFill>
                <a:srgbClr val="FFFF00"/>
              </a:solidFill>
            </c:spPr>
            <c:extLst>
              <c:ext xmlns:c16="http://schemas.microsoft.com/office/drawing/2014/chart" uri="{C3380CC4-5D6E-409C-BE32-E72D297353CC}">
                <c16:uniqueId val="{00000003-F2B0-4219-89BD-8DBF38941F24}"/>
              </c:ext>
            </c:extLst>
          </c:dPt>
          <c:val>
            <c:numRef>
              <c:f>Overview!$H$7:$J$7</c:f>
              <c:numCache>
                <c:formatCode>General</c:formatCode>
                <c:ptCount val="3"/>
                <c:pt idx="0">
                  <c:v>0</c:v>
                </c:pt>
                <c:pt idx="1">
                  <c:v>0</c:v>
                </c:pt>
                <c:pt idx="2">
                  <c:v>0</c:v>
                </c:pt>
              </c:numCache>
            </c:numRef>
          </c:val>
          <c:extLst>
            <c:ext xmlns:c16="http://schemas.microsoft.com/office/drawing/2014/chart" uri="{C3380CC4-5D6E-409C-BE32-E72D297353CC}">
              <c16:uniqueId val="{00000004-F2B0-4219-89BD-8DBF38941F24}"/>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FFFF00"/>
            </a:solidFill>
          </c:spPr>
          <c:dPt>
            <c:idx val="0"/>
            <c:bubble3D val="0"/>
            <c:spPr>
              <a:solidFill>
                <a:srgbClr val="92D050"/>
              </a:solidFill>
            </c:spPr>
            <c:extLst>
              <c:ext xmlns:c16="http://schemas.microsoft.com/office/drawing/2014/chart" uri="{C3380CC4-5D6E-409C-BE32-E72D297353CC}">
                <c16:uniqueId val="{00000001-F6F1-4D11-B19F-9B9AD13B178B}"/>
              </c:ext>
            </c:extLst>
          </c:dPt>
          <c:dPt>
            <c:idx val="2"/>
            <c:bubble3D val="0"/>
            <c:spPr>
              <a:solidFill>
                <a:srgbClr val="FF0000"/>
              </a:solidFill>
            </c:spPr>
            <c:extLst>
              <c:ext xmlns:c16="http://schemas.microsoft.com/office/drawing/2014/chart" uri="{C3380CC4-5D6E-409C-BE32-E72D297353CC}">
                <c16:uniqueId val="{00000003-F6F1-4D11-B19F-9B9AD13B178B}"/>
              </c:ext>
            </c:extLst>
          </c:dPt>
          <c:val>
            <c:numRef>
              <c:f>Overview!$H$8:$J$8</c:f>
              <c:numCache>
                <c:formatCode>General</c:formatCode>
                <c:ptCount val="3"/>
                <c:pt idx="0">
                  <c:v>0</c:v>
                </c:pt>
                <c:pt idx="1">
                  <c:v>0</c:v>
                </c:pt>
                <c:pt idx="2">
                  <c:v>0</c:v>
                </c:pt>
              </c:numCache>
            </c:numRef>
          </c:val>
          <c:extLst>
            <c:ext xmlns:c16="http://schemas.microsoft.com/office/drawing/2014/chart" uri="{C3380CC4-5D6E-409C-BE32-E72D297353CC}">
              <c16:uniqueId val="{00000004-F6F1-4D11-B19F-9B9AD13B178B}"/>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714375</xdr:colOff>
      <xdr:row>0</xdr:row>
      <xdr:rowOff>514350</xdr:rowOff>
    </xdr:to>
    <xdr:pic>
      <xdr:nvPicPr>
        <xdr:cNvPr id="2" name="Picture 1" descr="logo_Smal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15525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438150</xdr:colOff>
      <xdr:row>10</xdr:row>
      <xdr:rowOff>66674</xdr:rowOff>
    </xdr:from>
    <xdr:to>
      <xdr:col>12</xdr:col>
      <xdr:colOff>263850</xdr:colOff>
      <xdr:row>31</xdr:row>
      <xdr:rowOff>26174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17989</xdr:colOff>
      <xdr:row>10</xdr:row>
      <xdr:rowOff>28374</xdr:rowOff>
    </xdr:from>
    <xdr:to>
      <xdr:col>13</xdr:col>
      <xdr:colOff>471884</xdr:colOff>
      <xdr:row>30</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1</xdr:col>
          <xdr:colOff>28575</xdr:colOff>
          <xdr:row>2</xdr:row>
          <xdr:rowOff>0</xdr:rowOff>
        </xdr:from>
        <xdr:to>
          <xdr:col>1</xdr:col>
          <xdr:colOff>1333500</xdr:colOff>
          <xdr:row>2</xdr:row>
          <xdr:rowOff>495300</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Copy </a:t>
              </a:r>
              <a:r>
                <a:rPr lang="nl-NL" sz="1100" b="1" i="0" u="none" strike="noStrike" baseline="0">
                  <a:solidFill>
                    <a:srgbClr val="000000"/>
                  </a:solidFill>
                  <a:latin typeface="Calibri"/>
                  <a:cs typeface="Calibri"/>
                </a:rPr>
                <a:t>scores</a:t>
              </a:r>
              <a:r>
                <a:rPr lang="nl-NL" sz="1100" b="0" i="0" u="none" strike="noStrike" baseline="0">
                  <a:solidFill>
                    <a:srgbClr val="000000"/>
                  </a:solidFill>
                  <a:latin typeface="Calibri"/>
                  <a:cs typeface="Calibri"/>
                </a:rPr>
                <a:t> </a:t>
              </a:r>
            </a:p>
            <a:p>
              <a:pPr algn="ctr" rtl="0">
                <a:defRPr sz="1000"/>
              </a:pPr>
              <a:r>
                <a:rPr lang="nl-NL" sz="1100" b="0" i="0" u="none" strike="noStrike" baseline="0">
                  <a:solidFill>
                    <a:srgbClr val="000000"/>
                  </a:solidFill>
                  <a:latin typeface="Calibri"/>
                  <a:cs typeface="Calibri"/>
                </a:rPr>
                <a:t>for future use</a:t>
              </a:r>
            </a:p>
          </xdr:txBody>
        </xdr:sp>
        <xdr:clientData fPrintsWithSheet="0"/>
      </xdr:twoCellAnchor>
    </mc:Choice>
    <mc:Fallback/>
  </mc:AlternateContent>
  <xdr:twoCellAnchor>
    <xdr:from>
      <xdr:col>6</xdr:col>
      <xdr:colOff>533400</xdr:colOff>
      <xdr:row>10</xdr:row>
      <xdr:rowOff>4762</xdr:rowOff>
    </xdr:from>
    <xdr:to>
      <xdr:col>7</xdr:col>
      <xdr:colOff>71325</xdr:colOff>
      <xdr:row>13</xdr:row>
      <xdr:rowOff>9262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361948</xdr:colOff>
      <xdr:row>20</xdr:row>
      <xdr:rowOff>128586</xdr:rowOff>
    </xdr:from>
    <xdr:to>
      <xdr:col>9</xdr:col>
      <xdr:colOff>42748</xdr:colOff>
      <xdr:row>23</xdr:row>
      <xdr:rowOff>133086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457199</xdr:colOff>
      <xdr:row>28</xdr:row>
      <xdr:rowOff>128588</xdr:rowOff>
    </xdr:from>
    <xdr:to>
      <xdr:col>6</xdr:col>
      <xdr:colOff>1357199</xdr:colOff>
      <xdr:row>31</xdr:row>
      <xdr:rowOff>133350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800100</xdr:colOff>
      <xdr:row>20</xdr:row>
      <xdr:rowOff>109536</xdr:rowOff>
    </xdr:from>
    <xdr:to>
      <xdr:col>2</xdr:col>
      <xdr:colOff>338025</xdr:colOff>
      <xdr:row>23</xdr:row>
      <xdr:rowOff>114036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m/Documents/Modele%20de%20selection%20OpenSource/oss_evaluationmodel-n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ategory Ranking"/>
      <sheetName val="Category Rating and Metrics"/>
      <sheetName val="Warnings"/>
      <sheetName val="Unweighted Score"/>
      <sheetName val="Weights"/>
      <sheetName val="Filtered criteria"/>
    </sheetNames>
    <sheetDataSet>
      <sheetData sheetId="0"/>
      <sheetData sheetId="1"/>
      <sheetData sheetId="2"/>
      <sheetData sheetId="3"/>
      <sheetData sheetId="4" refreshError="1"/>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sa/4.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6"/>
  <sheetViews>
    <sheetView tabSelected="1" zoomScale="125" zoomScaleNormal="125" workbookViewId="0">
      <selection activeCell="C16" sqref="C16:H16"/>
    </sheetView>
  </sheetViews>
  <sheetFormatPr defaultRowHeight="12.75" x14ac:dyDescent="0.2"/>
  <cols>
    <col min="1" max="1" width="13" style="44" customWidth="1"/>
    <col min="2" max="2" width="10.85546875" style="44" bestFit="1" customWidth="1"/>
    <col min="3" max="7" width="9.140625" style="44"/>
    <col min="8" max="8" width="29.42578125" style="44" customWidth="1"/>
    <col min="9" max="256" width="9.140625" style="44"/>
    <col min="257" max="257" width="14.28515625" style="44" customWidth="1"/>
    <col min="258" max="263" width="9.140625" style="44"/>
    <col min="264" max="264" width="26.5703125" style="44" customWidth="1"/>
    <col min="265" max="512" width="9.140625" style="44"/>
    <col min="513" max="513" width="14.28515625" style="44" customWidth="1"/>
    <col min="514" max="519" width="9.140625" style="44"/>
    <col min="520" max="520" width="26.5703125" style="44" customWidth="1"/>
    <col min="521" max="768" width="9.140625" style="44"/>
    <col min="769" max="769" width="14.28515625" style="44" customWidth="1"/>
    <col min="770" max="775" width="9.140625" style="44"/>
    <col min="776" max="776" width="26.5703125" style="44" customWidth="1"/>
    <col min="777" max="1024" width="9.140625" style="44"/>
    <col min="1025" max="1025" width="14.28515625" style="44" customWidth="1"/>
    <col min="1026" max="1031" width="9.140625" style="44"/>
    <col min="1032" max="1032" width="26.5703125" style="44" customWidth="1"/>
    <col min="1033" max="1280" width="9.140625" style="44"/>
    <col min="1281" max="1281" width="14.28515625" style="44" customWidth="1"/>
    <col min="1282" max="1287" width="9.140625" style="44"/>
    <col min="1288" max="1288" width="26.5703125" style="44" customWidth="1"/>
    <col min="1289" max="1536" width="9.140625" style="44"/>
    <col min="1537" max="1537" width="14.28515625" style="44" customWidth="1"/>
    <col min="1538" max="1543" width="9.140625" style="44"/>
    <col min="1544" max="1544" width="26.5703125" style="44" customWidth="1"/>
    <col min="1545" max="1792" width="9.140625" style="44"/>
    <col min="1793" max="1793" width="14.28515625" style="44" customWidth="1"/>
    <col min="1794" max="1799" width="9.140625" style="44"/>
    <col min="1800" max="1800" width="26.5703125" style="44" customWidth="1"/>
    <col min="1801" max="2048" width="9.140625" style="44"/>
    <col min="2049" max="2049" width="14.28515625" style="44" customWidth="1"/>
    <col min="2050" max="2055" width="9.140625" style="44"/>
    <col min="2056" max="2056" width="26.5703125" style="44" customWidth="1"/>
    <col min="2057" max="2304" width="9.140625" style="44"/>
    <col min="2305" max="2305" width="14.28515625" style="44" customWidth="1"/>
    <col min="2306" max="2311" width="9.140625" style="44"/>
    <col min="2312" max="2312" width="26.5703125" style="44" customWidth="1"/>
    <col min="2313" max="2560" width="9.140625" style="44"/>
    <col min="2561" max="2561" width="14.28515625" style="44" customWidth="1"/>
    <col min="2562" max="2567" width="9.140625" style="44"/>
    <col min="2568" max="2568" width="26.5703125" style="44" customWidth="1"/>
    <col min="2569" max="2816" width="9.140625" style="44"/>
    <col min="2817" max="2817" width="14.28515625" style="44" customWidth="1"/>
    <col min="2818" max="2823" width="9.140625" style="44"/>
    <col min="2824" max="2824" width="26.5703125" style="44" customWidth="1"/>
    <col min="2825" max="3072" width="9.140625" style="44"/>
    <col min="3073" max="3073" width="14.28515625" style="44" customWidth="1"/>
    <col min="3074" max="3079" width="9.140625" style="44"/>
    <col min="3080" max="3080" width="26.5703125" style="44" customWidth="1"/>
    <col min="3081" max="3328" width="9.140625" style="44"/>
    <col min="3329" max="3329" width="14.28515625" style="44" customWidth="1"/>
    <col min="3330" max="3335" width="9.140625" style="44"/>
    <col min="3336" max="3336" width="26.5703125" style="44" customWidth="1"/>
    <col min="3337" max="3584" width="9.140625" style="44"/>
    <col min="3585" max="3585" width="14.28515625" style="44" customWidth="1"/>
    <col min="3586" max="3591" width="9.140625" style="44"/>
    <col min="3592" max="3592" width="26.5703125" style="44" customWidth="1"/>
    <col min="3593" max="3840" width="9.140625" style="44"/>
    <col min="3841" max="3841" width="14.28515625" style="44" customWidth="1"/>
    <col min="3842" max="3847" width="9.140625" style="44"/>
    <col min="3848" max="3848" width="26.5703125" style="44" customWidth="1"/>
    <col min="3849" max="4096" width="9.140625" style="44"/>
    <col min="4097" max="4097" width="14.28515625" style="44" customWidth="1"/>
    <col min="4098" max="4103" width="9.140625" style="44"/>
    <col min="4104" max="4104" width="26.5703125" style="44" customWidth="1"/>
    <col min="4105" max="4352" width="9.140625" style="44"/>
    <col min="4353" max="4353" width="14.28515625" style="44" customWidth="1"/>
    <col min="4354" max="4359" width="9.140625" style="44"/>
    <col min="4360" max="4360" width="26.5703125" style="44" customWidth="1"/>
    <col min="4361" max="4608" width="9.140625" style="44"/>
    <col min="4609" max="4609" width="14.28515625" style="44" customWidth="1"/>
    <col min="4610" max="4615" width="9.140625" style="44"/>
    <col min="4616" max="4616" width="26.5703125" style="44" customWidth="1"/>
    <col min="4617" max="4864" width="9.140625" style="44"/>
    <col min="4865" max="4865" width="14.28515625" style="44" customWidth="1"/>
    <col min="4866" max="4871" width="9.140625" style="44"/>
    <col min="4872" max="4872" width="26.5703125" style="44" customWidth="1"/>
    <col min="4873" max="5120" width="9.140625" style="44"/>
    <col min="5121" max="5121" width="14.28515625" style="44" customWidth="1"/>
    <col min="5122" max="5127" width="9.140625" style="44"/>
    <col min="5128" max="5128" width="26.5703125" style="44" customWidth="1"/>
    <col min="5129" max="5376" width="9.140625" style="44"/>
    <col min="5377" max="5377" width="14.28515625" style="44" customWidth="1"/>
    <col min="5378" max="5383" width="9.140625" style="44"/>
    <col min="5384" max="5384" width="26.5703125" style="44" customWidth="1"/>
    <col min="5385" max="5632" width="9.140625" style="44"/>
    <col min="5633" max="5633" width="14.28515625" style="44" customWidth="1"/>
    <col min="5634" max="5639" width="9.140625" style="44"/>
    <col min="5640" max="5640" width="26.5703125" style="44" customWidth="1"/>
    <col min="5641" max="5888" width="9.140625" style="44"/>
    <col min="5889" max="5889" width="14.28515625" style="44" customWidth="1"/>
    <col min="5890" max="5895" width="9.140625" style="44"/>
    <col min="5896" max="5896" width="26.5703125" style="44" customWidth="1"/>
    <col min="5897" max="6144" width="9.140625" style="44"/>
    <col min="6145" max="6145" width="14.28515625" style="44" customWidth="1"/>
    <col min="6146" max="6151" width="9.140625" style="44"/>
    <col min="6152" max="6152" width="26.5703125" style="44" customWidth="1"/>
    <col min="6153" max="6400" width="9.140625" style="44"/>
    <col min="6401" max="6401" width="14.28515625" style="44" customWidth="1"/>
    <col min="6402" max="6407" width="9.140625" style="44"/>
    <col min="6408" max="6408" width="26.5703125" style="44" customWidth="1"/>
    <col min="6409" max="6656" width="9.140625" style="44"/>
    <col min="6657" max="6657" width="14.28515625" style="44" customWidth="1"/>
    <col min="6658" max="6663" width="9.140625" style="44"/>
    <col min="6664" max="6664" width="26.5703125" style="44" customWidth="1"/>
    <col min="6665" max="6912" width="9.140625" style="44"/>
    <col min="6913" max="6913" width="14.28515625" style="44" customWidth="1"/>
    <col min="6914" max="6919" width="9.140625" style="44"/>
    <col min="6920" max="6920" width="26.5703125" style="44" customWidth="1"/>
    <col min="6921" max="7168" width="9.140625" style="44"/>
    <col min="7169" max="7169" width="14.28515625" style="44" customWidth="1"/>
    <col min="7170" max="7175" width="9.140625" style="44"/>
    <col min="7176" max="7176" width="26.5703125" style="44" customWidth="1"/>
    <col min="7177" max="7424" width="9.140625" style="44"/>
    <col min="7425" max="7425" width="14.28515625" style="44" customWidth="1"/>
    <col min="7426" max="7431" width="9.140625" style="44"/>
    <col min="7432" max="7432" width="26.5703125" style="44" customWidth="1"/>
    <col min="7433" max="7680" width="9.140625" style="44"/>
    <col min="7681" max="7681" width="14.28515625" style="44" customWidth="1"/>
    <col min="7682" max="7687" width="9.140625" style="44"/>
    <col min="7688" max="7688" width="26.5703125" style="44" customWidth="1"/>
    <col min="7689" max="7936" width="9.140625" style="44"/>
    <col min="7937" max="7937" width="14.28515625" style="44" customWidth="1"/>
    <col min="7938" max="7943" width="9.140625" style="44"/>
    <col min="7944" max="7944" width="26.5703125" style="44" customWidth="1"/>
    <col min="7945" max="8192" width="9.140625" style="44"/>
    <col min="8193" max="8193" width="14.28515625" style="44" customWidth="1"/>
    <col min="8194" max="8199" width="9.140625" style="44"/>
    <col min="8200" max="8200" width="26.5703125" style="44" customWidth="1"/>
    <col min="8201" max="8448" width="9.140625" style="44"/>
    <col min="8449" max="8449" width="14.28515625" style="44" customWidth="1"/>
    <col min="8450" max="8455" width="9.140625" style="44"/>
    <col min="8456" max="8456" width="26.5703125" style="44" customWidth="1"/>
    <col min="8457" max="8704" width="9.140625" style="44"/>
    <col min="8705" max="8705" width="14.28515625" style="44" customWidth="1"/>
    <col min="8706" max="8711" width="9.140625" style="44"/>
    <col min="8712" max="8712" width="26.5703125" style="44" customWidth="1"/>
    <col min="8713" max="8960" width="9.140625" style="44"/>
    <col min="8961" max="8961" width="14.28515625" style="44" customWidth="1"/>
    <col min="8962" max="8967" width="9.140625" style="44"/>
    <col min="8968" max="8968" width="26.5703125" style="44" customWidth="1"/>
    <col min="8969" max="9216" width="9.140625" style="44"/>
    <col min="9217" max="9217" width="14.28515625" style="44" customWidth="1"/>
    <col min="9218" max="9223" width="9.140625" style="44"/>
    <col min="9224" max="9224" width="26.5703125" style="44" customWidth="1"/>
    <col min="9225" max="9472" width="9.140625" style="44"/>
    <col min="9473" max="9473" width="14.28515625" style="44" customWidth="1"/>
    <col min="9474" max="9479" width="9.140625" style="44"/>
    <col min="9480" max="9480" width="26.5703125" style="44" customWidth="1"/>
    <col min="9481" max="9728" width="9.140625" style="44"/>
    <col min="9729" max="9729" width="14.28515625" style="44" customWidth="1"/>
    <col min="9730" max="9735" width="9.140625" style="44"/>
    <col min="9736" max="9736" width="26.5703125" style="44" customWidth="1"/>
    <col min="9737" max="9984" width="9.140625" style="44"/>
    <col min="9985" max="9985" width="14.28515625" style="44" customWidth="1"/>
    <col min="9986" max="9991" width="9.140625" style="44"/>
    <col min="9992" max="9992" width="26.5703125" style="44" customWidth="1"/>
    <col min="9993" max="10240" width="9.140625" style="44"/>
    <col min="10241" max="10241" width="14.28515625" style="44" customWidth="1"/>
    <col min="10242" max="10247" width="9.140625" style="44"/>
    <col min="10248" max="10248" width="26.5703125" style="44" customWidth="1"/>
    <col min="10249" max="10496" width="9.140625" style="44"/>
    <col min="10497" max="10497" width="14.28515625" style="44" customWidth="1"/>
    <col min="10498" max="10503" width="9.140625" style="44"/>
    <col min="10504" max="10504" width="26.5703125" style="44" customWidth="1"/>
    <col min="10505" max="10752" width="9.140625" style="44"/>
    <col min="10753" max="10753" width="14.28515625" style="44" customWidth="1"/>
    <col min="10754" max="10759" width="9.140625" style="44"/>
    <col min="10760" max="10760" width="26.5703125" style="44" customWidth="1"/>
    <col min="10761" max="11008" width="9.140625" style="44"/>
    <col min="11009" max="11009" width="14.28515625" style="44" customWidth="1"/>
    <col min="11010" max="11015" width="9.140625" style="44"/>
    <col min="11016" max="11016" width="26.5703125" style="44" customWidth="1"/>
    <col min="11017" max="11264" width="9.140625" style="44"/>
    <col min="11265" max="11265" width="14.28515625" style="44" customWidth="1"/>
    <col min="11266" max="11271" width="9.140625" style="44"/>
    <col min="11272" max="11272" width="26.5703125" style="44" customWidth="1"/>
    <col min="11273" max="11520" width="9.140625" style="44"/>
    <col min="11521" max="11521" width="14.28515625" style="44" customWidth="1"/>
    <col min="11522" max="11527" width="9.140625" style="44"/>
    <col min="11528" max="11528" width="26.5703125" style="44" customWidth="1"/>
    <col min="11529" max="11776" width="9.140625" style="44"/>
    <col min="11777" max="11777" width="14.28515625" style="44" customWidth="1"/>
    <col min="11778" max="11783" width="9.140625" style="44"/>
    <col min="11784" max="11784" width="26.5703125" style="44" customWidth="1"/>
    <col min="11785" max="12032" width="9.140625" style="44"/>
    <col min="12033" max="12033" width="14.28515625" style="44" customWidth="1"/>
    <col min="12034" max="12039" width="9.140625" style="44"/>
    <col min="12040" max="12040" width="26.5703125" style="44" customWidth="1"/>
    <col min="12041" max="12288" width="9.140625" style="44"/>
    <col min="12289" max="12289" width="14.28515625" style="44" customWidth="1"/>
    <col min="12290" max="12295" width="9.140625" style="44"/>
    <col min="12296" max="12296" width="26.5703125" style="44" customWidth="1"/>
    <col min="12297" max="12544" width="9.140625" style="44"/>
    <col min="12545" max="12545" width="14.28515625" style="44" customWidth="1"/>
    <col min="12546" max="12551" width="9.140625" style="44"/>
    <col min="12552" max="12552" width="26.5703125" style="44" customWidth="1"/>
    <col min="12553" max="12800" width="9.140625" style="44"/>
    <col min="12801" max="12801" width="14.28515625" style="44" customWidth="1"/>
    <col min="12802" max="12807" width="9.140625" style="44"/>
    <col min="12808" max="12808" width="26.5703125" style="44" customWidth="1"/>
    <col min="12809" max="13056" width="9.140625" style="44"/>
    <col min="13057" max="13057" width="14.28515625" style="44" customWidth="1"/>
    <col min="13058" max="13063" width="9.140625" style="44"/>
    <col min="13064" max="13064" width="26.5703125" style="44" customWidth="1"/>
    <col min="13065" max="13312" width="9.140625" style="44"/>
    <col min="13313" max="13313" width="14.28515625" style="44" customWidth="1"/>
    <col min="13314" max="13319" width="9.140625" style="44"/>
    <col min="13320" max="13320" width="26.5703125" style="44" customWidth="1"/>
    <col min="13321" max="13568" width="9.140625" style="44"/>
    <col min="13569" max="13569" width="14.28515625" style="44" customWidth="1"/>
    <col min="13570" max="13575" width="9.140625" style="44"/>
    <col min="13576" max="13576" width="26.5703125" style="44" customWidth="1"/>
    <col min="13577" max="13824" width="9.140625" style="44"/>
    <col min="13825" max="13825" width="14.28515625" style="44" customWidth="1"/>
    <col min="13826" max="13831" width="9.140625" style="44"/>
    <col min="13832" max="13832" width="26.5703125" style="44" customWidth="1"/>
    <col min="13833" max="14080" width="9.140625" style="44"/>
    <col min="14081" max="14081" width="14.28515625" style="44" customWidth="1"/>
    <col min="14082" max="14087" width="9.140625" style="44"/>
    <col min="14088" max="14088" width="26.5703125" style="44" customWidth="1"/>
    <col min="14089" max="14336" width="9.140625" style="44"/>
    <col min="14337" max="14337" width="14.28515625" style="44" customWidth="1"/>
    <col min="14338" max="14343" width="9.140625" style="44"/>
    <col min="14344" max="14344" width="26.5703125" style="44" customWidth="1"/>
    <col min="14345" max="14592" width="9.140625" style="44"/>
    <col min="14593" max="14593" width="14.28515625" style="44" customWidth="1"/>
    <col min="14594" max="14599" width="9.140625" style="44"/>
    <col min="14600" max="14600" width="26.5703125" style="44" customWidth="1"/>
    <col min="14601" max="14848" width="9.140625" style="44"/>
    <col min="14849" max="14849" width="14.28515625" style="44" customWidth="1"/>
    <col min="14850" max="14855" width="9.140625" style="44"/>
    <col min="14856" max="14856" width="26.5703125" style="44" customWidth="1"/>
    <col min="14857" max="15104" width="9.140625" style="44"/>
    <col min="15105" max="15105" width="14.28515625" style="44" customWidth="1"/>
    <col min="15106" max="15111" width="9.140625" style="44"/>
    <col min="15112" max="15112" width="26.5703125" style="44" customWidth="1"/>
    <col min="15113" max="15360" width="9.140625" style="44"/>
    <col min="15361" max="15361" width="14.28515625" style="44" customWidth="1"/>
    <col min="15362" max="15367" width="9.140625" style="44"/>
    <col min="15368" max="15368" width="26.5703125" style="44" customWidth="1"/>
    <col min="15369" max="15616" width="9.140625" style="44"/>
    <col min="15617" max="15617" width="14.28515625" style="44" customWidth="1"/>
    <col min="15618" max="15623" width="9.140625" style="44"/>
    <col min="15624" max="15624" width="26.5703125" style="44" customWidth="1"/>
    <col min="15625" max="15872" width="9.140625" style="44"/>
    <col min="15873" max="15873" width="14.28515625" style="44" customWidth="1"/>
    <col min="15874" max="15879" width="9.140625" style="44"/>
    <col min="15880" max="15880" width="26.5703125" style="44" customWidth="1"/>
    <col min="15881" max="16128" width="9.140625" style="44"/>
    <col min="16129" max="16129" width="14.28515625" style="44" customWidth="1"/>
    <col min="16130" max="16135" width="9.140625" style="44"/>
    <col min="16136" max="16136" width="26.5703125" style="44" customWidth="1"/>
    <col min="16137" max="16384" width="9.140625" style="44"/>
  </cols>
  <sheetData>
    <row r="1" spans="1:8" ht="43.5" customHeight="1" x14ac:dyDescent="0.2"/>
    <row r="2" spans="1:8" s="45" customFormat="1" ht="23.25" x14ac:dyDescent="0.35">
      <c r="A2" s="45" t="s">
        <v>141</v>
      </c>
    </row>
    <row r="3" spans="1:8" s="49" customFormat="1" ht="20.25" x14ac:dyDescent="0.3">
      <c r="A3" s="46" t="s">
        <v>131</v>
      </c>
      <c r="B3" s="47" t="s">
        <v>330</v>
      </c>
      <c r="C3" s="48"/>
    </row>
    <row r="4" spans="1:8" s="51" customFormat="1" ht="36" customHeight="1" x14ac:dyDescent="0.2">
      <c r="A4" s="50" t="s">
        <v>132</v>
      </c>
      <c r="B4" s="134" t="s">
        <v>236</v>
      </c>
      <c r="C4" s="134"/>
      <c r="D4" s="134"/>
      <c r="E4" s="134"/>
      <c r="F4" s="134"/>
      <c r="G4" s="134"/>
      <c r="H4" s="134"/>
    </row>
    <row r="5" spans="1:8" s="51" customFormat="1" ht="15" x14ac:dyDescent="0.2">
      <c r="A5" s="52"/>
      <c r="B5" s="53" t="s">
        <v>237</v>
      </c>
      <c r="C5" s="52"/>
      <c r="D5" s="52"/>
      <c r="E5" s="52"/>
      <c r="F5" s="52"/>
      <c r="G5" s="52"/>
      <c r="H5" s="52"/>
    </row>
    <row r="6" spans="1:8" s="51" customFormat="1" ht="15" x14ac:dyDescent="0.2">
      <c r="A6" s="52"/>
      <c r="B6" s="53"/>
      <c r="C6" s="52"/>
      <c r="D6" s="52"/>
      <c r="E6" s="52"/>
      <c r="F6" s="52"/>
      <c r="G6" s="52"/>
      <c r="H6" s="52"/>
    </row>
    <row r="7" spans="1:8" ht="15.75" x14ac:dyDescent="0.2">
      <c r="A7" s="54"/>
      <c r="B7" s="135"/>
      <c r="C7" s="135"/>
      <c r="D7" s="135"/>
      <c r="E7" s="135"/>
      <c r="F7" s="135"/>
      <c r="G7" s="135"/>
      <c r="H7" s="135"/>
    </row>
    <row r="8" spans="1:8" ht="15.75" x14ac:dyDescent="0.2">
      <c r="A8" s="136" t="s">
        <v>133</v>
      </c>
      <c r="B8" s="136"/>
      <c r="C8" s="55"/>
      <c r="D8" s="55"/>
      <c r="E8" s="55"/>
      <c r="F8" s="55"/>
      <c r="G8" s="55"/>
      <c r="H8" s="55"/>
    </row>
    <row r="9" spans="1:8" s="57" customFormat="1" ht="15" customHeight="1" x14ac:dyDescent="0.2">
      <c r="A9" s="56" t="s">
        <v>134</v>
      </c>
      <c r="B9" s="112">
        <v>41971</v>
      </c>
      <c r="C9" s="137" t="s">
        <v>135</v>
      </c>
      <c r="D9" s="137"/>
      <c r="E9" s="137"/>
      <c r="F9" s="137"/>
      <c r="G9" s="137"/>
      <c r="H9" s="137"/>
    </row>
    <row r="10" spans="1:8" s="57" customFormat="1" ht="15" customHeight="1" x14ac:dyDescent="0.2">
      <c r="A10" s="56" t="s">
        <v>238</v>
      </c>
      <c r="B10" s="112">
        <v>41989</v>
      </c>
      <c r="C10" s="137" t="s">
        <v>239</v>
      </c>
      <c r="D10" s="137"/>
      <c r="E10" s="137"/>
      <c r="F10" s="137"/>
      <c r="G10" s="137"/>
      <c r="H10" s="137"/>
    </row>
    <row r="11" spans="1:8" s="57" customFormat="1" ht="15" customHeight="1" x14ac:dyDescent="0.2">
      <c r="A11" s="56" t="s">
        <v>54</v>
      </c>
      <c r="B11" s="112">
        <v>42163</v>
      </c>
      <c r="C11" s="137" t="s">
        <v>240</v>
      </c>
      <c r="D11" s="137"/>
      <c r="E11" s="137"/>
      <c r="F11" s="137"/>
      <c r="G11" s="137"/>
      <c r="H11" s="137"/>
    </row>
    <row r="12" spans="1:8" s="57" customFormat="1" ht="15" customHeight="1" x14ac:dyDescent="0.2">
      <c r="A12" s="56" t="s">
        <v>60</v>
      </c>
      <c r="B12" s="112">
        <v>42408</v>
      </c>
      <c r="C12" s="137" t="s">
        <v>242</v>
      </c>
      <c r="D12" s="137"/>
      <c r="E12" s="137"/>
      <c r="F12" s="137"/>
      <c r="G12" s="137"/>
      <c r="H12" s="137"/>
    </row>
    <row r="13" spans="1:8" s="57" customFormat="1" ht="15" customHeight="1" x14ac:dyDescent="0.2">
      <c r="A13" s="56" t="s">
        <v>67</v>
      </c>
      <c r="B13" s="112">
        <v>42416</v>
      </c>
      <c r="C13" s="137" t="s">
        <v>243</v>
      </c>
      <c r="D13" s="137"/>
      <c r="E13" s="137"/>
      <c r="F13" s="137"/>
      <c r="G13" s="137"/>
      <c r="H13" s="137"/>
    </row>
    <row r="14" spans="1:8" s="57" customFormat="1" ht="15" customHeight="1" x14ac:dyDescent="0.2">
      <c r="A14" s="56" t="s">
        <v>244</v>
      </c>
      <c r="B14" s="112">
        <v>42479</v>
      </c>
      <c r="C14" s="137" t="s">
        <v>240</v>
      </c>
      <c r="D14" s="137"/>
      <c r="E14" s="137"/>
      <c r="F14" s="137"/>
      <c r="G14" s="137"/>
      <c r="H14" s="137"/>
    </row>
    <row r="15" spans="1:8" s="57" customFormat="1" ht="15" customHeight="1" x14ac:dyDescent="0.2">
      <c r="A15" s="56" t="s">
        <v>246</v>
      </c>
      <c r="B15" s="112">
        <v>42914</v>
      </c>
      <c r="C15" s="137" t="s">
        <v>247</v>
      </c>
      <c r="D15" s="137"/>
      <c r="E15" s="137"/>
      <c r="F15" s="137"/>
      <c r="G15" s="137"/>
      <c r="H15" s="137"/>
    </row>
    <row r="16" spans="1:8" s="57" customFormat="1" ht="15" customHeight="1" x14ac:dyDescent="0.2">
      <c r="A16" s="56" t="s">
        <v>330</v>
      </c>
      <c r="B16" s="112">
        <v>44162</v>
      </c>
      <c r="C16" s="137" t="s">
        <v>391</v>
      </c>
      <c r="D16" s="137"/>
      <c r="E16" s="137"/>
      <c r="F16" s="137"/>
      <c r="G16" s="137"/>
      <c r="H16" s="137"/>
    </row>
    <row r="17" spans="1:8" s="57" customFormat="1" ht="15" customHeight="1" x14ac:dyDescent="0.2">
      <c r="A17" s="56"/>
      <c r="B17" s="112"/>
      <c r="C17" s="117"/>
      <c r="D17" s="117"/>
      <c r="E17" s="117"/>
      <c r="F17" s="117"/>
      <c r="G17" s="117"/>
      <c r="H17" s="117"/>
    </row>
    <row r="18" spans="1:8" s="57" customFormat="1" ht="15" customHeight="1" x14ac:dyDescent="0.2">
      <c r="A18" s="116" t="s">
        <v>332</v>
      </c>
      <c r="B18" s="112"/>
      <c r="C18" s="117"/>
      <c r="D18" s="117"/>
      <c r="E18" s="117"/>
      <c r="F18" s="117"/>
      <c r="G18" s="117"/>
      <c r="H18" s="117"/>
    </row>
    <row r="19" spans="1:8" s="57" customFormat="1" ht="63" customHeight="1" x14ac:dyDescent="0.2">
      <c r="A19" s="56"/>
      <c r="B19" s="139" t="s">
        <v>392</v>
      </c>
      <c r="C19" s="139"/>
      <c r="D19" s="139"/>
      <c r="E19" s="139"/>
      <c r="F19" s="139"/>
      <c r="G19" s="139"/>
      <c r="H19" s="139"/>
    </row>
    <row r="20" spans="1:8" s="57" customFormat="1" ht="38.25" customHeight="1" x14ac:dyDescent="0.2">
      <c r="A20" s="56"/>
      <c r="B20" s="139" t="s">
        <v>393</v>
      </c>
      <c r="C20" s="139"/>
      <c r="D20" s="139"/>
      <c r="E20" s="139"/>
      <c r="F20" s="139"/>
      <c r="G20" s="139"/>
      <c r="H20" s="139"/>
    </row>
    <row r="21" spans="1:8" s="57" customFormat="1" ht="15" x14ac:dyDescent="0.2">
      <c r="A21" s="56"/>
      <c r="B21" s="58"/>
      <c r="C21" s="58"/>
      <c r="D21" s="58"/>
      <c r="E21" s="58"/>
      <c r="F21" s="58"/>
      <c r="G21" s="58"/>
      <c r="H21" s="58"/>
    </row>
    <row r="22" spans="1:8" s="59" customFormat="1" ht="15.75" x14ac:dyDescent="0.25">
      <c r="A22" s="59" t="s">
        <v>144</v>
      </c>
      <c r="B22" s="60"/>
    </row>
    <row r="23" spans="1:8" s="61" customFormat="1" ht="92.25" customHeight="1" x14ac:dyDescent="0.2">
      <c r="A23" s="131" t="s">
        <v>136</v>
      </c>
      <c r="B23" s="133" t="s">
        <v>394</v>
      </c>
      <c r="C23" s="133"/>
      <c r="D23" s="133"/>
      <c r="E23" s="133"/>
      <c r="F23" s="133"/>
      <c r="G23" s="133"/>
      <c r="H23" s="133"/>
    </row>
    <row r="24" spans="1:8" s="61" customFormat="1" ht="57" customHeight="1" x14ac:dyDescent="0.2">
      <c r="A24" s="131" t="s">
        <v>137</v>
      </c>
      <c r="B24" s="133" t="s">
        <v>395</v>
      </c>
      <c r="C24" s="133"/>
      <c r="D24" s="133"/>
      <c r="E24" s="133"/>
      <c r="F24" s="133"/>
      <c r="G24" s="133"/>
      <c r="H24" s="133"/>
    </row>
    <row r="25" spans="1:8" s="61" customFormat="1" ht="45.95" customHeight="1" x14ac:dyDescent="0.2">
      <c r="A25" s="132" t="s">
        <v>138</v>
      </c>
      <c r="B25" s="133" t="s">
        <v>396</v>
      </c>
      <c r="C25" s="133"/>
      <c r="D25" s="133"/>
      <c r="E25" s="133"/>
      <c r="F25" s="133"/>
      <c r="G25" s="133"/>
      <c r="H25" s="133"/>
    </row>
    <row r="26" spans="1:8" s="61" customFormat="1" ht="36" customHeight="1" x14ac:dyDescent="0.2">
      <c r="A26" s="131" t="s">
        <v>139</v>
      </c>
      <c r="B26" s="133" t="s">
        <v>142</v>
      </c>
      <c r="C26" s="133"/>
      <c r="D26" s="133"/>
      <c r="E26" s="133"/>
      <c r="F26" s="133"/>
      <c r="G26" s="133"/>
      <c r="H26" s="133"/>
    </row>
    <row r="27" spans="1:8" s="61" customFormat="1" ht="45.95" customHeight="1" x14ac:dyDescent="0.2">
      <c r="A27" s="131" t="s">
        <v>187</v>
      </c>
      <c r="B27" s="133" t="s">
        <v>151</v>
      </c>
      <c r="C27" s="133"/>
      <c r="D27" s="133"/>
      <c r="E27" s="133"/>
      <c r="F27" s="133"/>
      <c r="G27" s="133"/>
      <c r="H27" s="133"/>
    </row>
    <row r="28" spans="1:8" s="61" customFormat="1" ht="26.1" customHeight="1" x14ac:dyDescent="0.2">
      <c r="A28" s="140" t="s">
        <v>188</v>
      </c>
      <c r="B28" s="133" t="s">
        <v>185</v>
      </c>
      <c r="C28" s="133"/>
      <c r="D28" s="133"/>
      <c r="E28" s="133"/>
      <c r="F28" s="133"/>
      <c r="G28" s="133"/>
      <c r="H28" s="133"/>
    </row>
    <row r="29" spans="1:8" s="61" customFormat="1" ht="36" customHeight="1" x14ac:dyDescent="0.2">
      <c r="A29" s="140"/>
      <c r="B29" s="133" t="s">
        <v>186</v>
      </c>
      <c r="C29" s="133"/>
      <c r="D29" s="133"/>
      <c r="E29" s="133"/>
      <c r="F29" s="133"/>
      <c r="G29" s="133"/>
      <c r="H29" s="133"/>
    </row>
    <row r="30" spans="1:8" s="61" customFormat="1" ht="36" customHeight="1" x14ac:dyDescent="0.2">
      <c r="A30" s="140"/>
      <c r="B30" s="133" t="s">
        <v>397</v>
      </c>
      <c r="C30" s="133"/>
      <c r="D30" s="133"/>
      <c r="E30" s="133"/>
      <c r="F30" s="133"/>
      <c r="G30" s="133"/>
      <c r="H30" s="133"/>
    </row>
    <row r="31" spans="1:8" s="61" customFormat="1" ht="36" customHeight="1" x14ac:dyDescent="0.2">
      <c r="A31" s="140"/>
      <c r="B31" s="133" t="s">
        <v>146</v>
      </c>
      <c r="C31" s="133"/>
      <c r="D31" s="133"/>
      <c r="E31" s="133"/>
      <c r="F31" s="133"/>
      <c r="G31" s="133"/>
      <c r="H31" s="133"/>
    </row>
    <row r="32" spans="1:8" s="61" customFormat="1" ht="45.95" customHeight="1" x14ac:dyDescent="0.2">
      <c r="A32" s="131" t="s">
        <v>189</v>
      </c>
      <c r="B32" s="133" t="s">
        <v>143</v>
      </c>
      <c r="C32" s="133"/>
      <c r="D32" s="133"/>
      <c r="E32" s="133"/>
      <c r="F32" s="133"/>
      <c r="G32" s="133"/>
      <c r="H32" s="133"/>
    </row>
    <row r="33" spans="1:8" s="61" customFormat="1" ht="126" customHeight="1" x14ac:dyDescent="0.2">
      <c r="A33" s="131" t="s">
        <v>190</v>
      </c>
      <c r="B33" s="138" t="s">
        <v>192</v>
      </c>
      <c r="C33" s="138"/>
      <c r="D33" s="138"/>
      <c r="E33" s="138"/>
      <c r="F33" s="138"/>
      <c r="G33" s="138"/>
      <c r="H33" s="138"/>
    </row>
    <row r="34" spans="1:8" s="61" customFormat="1" ht="36" customHeight="1" x14ac:dyDescent="0.2">
      <c r="A34" s="140" t="s">
        <v>191</v>
      </c>
      <c r="B34" s="133" t="s">
        <v>193</v>
      </c>
      <c r="C34" s="133"/>
      <c r="D34" s="133"/>
      <c r="E34" s="133"/>
      <c r="F34" s="133"/>
      <c r="G34" s="133"/>
      <c r="H34" s="133"/>
    </row>
    <row r="35" spans="1:8" s="61" customFormat="1" ht="36" customHeight="1" x14ac:dyDescent="0.2">
      <c r="A35" s="140"/>
      <c r="B35" s="133" t="s">
        <v>195</v>
      </c>
      <c r="C35" s="133"/>
      <c r="D35" s="133"/>
      <c r="E35" s="133"/>
      <c r="F35" s="133"/>
      <c r="G35" s="133"/>
      <c r="H35" s="133"/>
    </row>
    <row r="36" spans="1:8" s="61" customFormat="1" ht="45.95" customHeight="1" x14ac:dyDescent="0.2">
      <c r="A36" s="140"/>
      <c r="B36" s="133" t="s">
        <v>196</v>
      </c>
      <c r="C36" s="133"/>
      <c r="D36" s="133"/>
      <c r="E36" s="133"/>
      <c r="F36" s="133"/>
      <c r="G36" s="133"/>
      <c r="H36" s="133"/>
    </row>
    <row r="37" spans="1:8" s="61" customFormat="1" ht="26.1" customHeight="1" x14ac:dyDescent="0.2">
      <c r="A37" s="131" t="s">
        <v>140</v>
      </c>
      <c r="B37" s="133" t="s">
        <v>199</v>
      </c>
      <c r="C37" s="133"/>
      <c r="D37" s="133"/>
      <c r="E37" s="133"/>
      <c r="F37" s="133"/>
      <c r="G37" s="133"/>
      <c r="H37" s="133"/>
    </row>
    <row r="38" spans="1:8" s="61" customFormat="1" ht="26.1" customHeight="1" x14ac:dyDescent="0.2">
      <c r="A38" s="131" t="s">
        <v>197</v>
      </c>
      <c r="B38" s="133" t="s">
        <v>331</v>
      </c>
      <c r="C38" s="133"/>
      <c r="D38" s="133"/>
      <c r="E38" s="133"/>
      <c r="F38" s="133"/>
      <c r="G38" s="133"/>
      <c r="H38" s="133"/>
    </row>
    <row r="39" spans="1:8" s="61" customFormat="1" ht="36" customHeight="1" x14ac:dyDescent="0.2">
      <c r="A39" s="131" t="s">
        <v>198</v>
      </c>
      <c r="B39" s="133" t="s">
        <v>200</v>
      </c>
      <c r="C39" s="133"/>
      <c r="D39" s="133"/>
      <c r="E39" s="133"/>
      <c r="F39" s="133"/>
      <c r="G39" s="133"/>
      <c r="H39" s="133"/>
    </row>
    <row r="42" spans="1:8" x14ac:dyDescent="0.2">
      <c r="B42" s="113"/>
    </row>
    <row r="43" spans="1:8" x14ac:dyDescent="0.2">
      <c r="B43" s="113"/>
    </row>
    <row r="44" spans="1:8" x14ac:dyDescent="0.2">
      <c r="B44" s="113"/>
    </row>
    <row r="45" spans="1:8" x14ac:dyDescent="0.2">
      <c r="B45" s="113"/>
    </row>
    <row r="46" spans="1:8" x14ac:dyDescent="0.2">
      <c r="B46" s="113"/>
    </row>
  </sheetData>
  <sheetProtection algorithmName="SHA-512" hashValue="4SfSKda5UJHGZO1HfcZCuu6xgCCqWBMgrJW49fRPgn1w7K/BCkP7rH2VwCmjC2jeVquororaqbSre/kkFETW3w==" saltValue="a6OqerqX3BPvUaxwUZ8/wA==" spinCount="100000" sheet="1" objects="1" scenarios="1" formatCells="0" formatColumns="0" formatRows="0" insertColumns="0" insertRows="0" insertHyperlinks="0" deleteColumns="0" deleteRows="0"/>
  <mergeCells count="32">
    <mergeCell ref="B19:H19"/>
    <mergeCell ref="B20:H20"/>
    <mergeCell ref="A28:A31"/>
    <mergeCell ref="B24:H24"/>
    <mergeCell ref="A34:A36"/>
    <mergeCell ref="B37:H37"/>
    <mergeCell ref="B38:H38"/>
    <mergeCell ref="B25:H25"/>
    <mergeCell ref="B27:H27"/>
    <mergeCell ref="B28:H28"/>
    <mergeCell ref="B35:H35"/>
    <mergeCell ref="B36:H36"/>
    <mergeCell ref="B30:H30"/>
    <mergeCell ref="B26:H26"/>
    <mergeCell ref="B34:H34"/>
    <mergeCell ref="B33:H33"/>
    <mergeCell ref="B39:H39"/>
    <mergeCell ref="B29:H29"/>
    <mergeCell ref="B32:H32"/>
    <mergeCell ref="B31:H31"/>
    <mergeCell ref="B4:H4"/>
    <mergeCell ref="B7:H7"/>
    <mergeCell ref="A8:B8"/>
    <mergeCell ref="B23:H23"/>
    <mergeCell ref="C9:H9"/>
    <mergeCell ref="C10:H10"/>
    <mergeCell ref="C11:H11"/>
    <mergeCell ref="C12:H12"/>
    <mergeCell ref="C13:H13"/>
    <mergeCell ref="C14:H14"/>
    <mergeCell ref="C15:H15"/>
    <mergeCell ref="C16:H16"/>
  </mergeCells>
  <hyperlinks>
    <hyperlink ref="B5" r:id="rId1"/>
  </hyperlinks>
  <pageMargins left="0.75" right="0.75" top="1" bottom="1" header="0.5" footer="0.5"/>
  <pageSetup scale="7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8"/>
  <sheetViews>
    <sheetView workbookViewId="0">
      <selection activeCell="C3" sqref="C3"/>
    </sheetView>
  </sheetViews>
  <sheetFormatPr defaultRowHeight="15" x14ac:dyDescent="0.25"/>
  <cols>
    <col min="1" max="1" width="5.7109375" customWidth="1"/>
    <col min="2" max="2" width="41.140625" customWidth="1"/>
    <col min="3" max="3" width="33.140625" style="73" customWidth="1"/>
  </cols>
  <sheetData>
    <row r="1" spans="2:14" s="38" customFormat="1" ht="33.75" x14ac:dyDescent="0.5">
      <c r="B1" s="141" t="s">
        <v>156</v>
      </c>
      <c r="C1" s="141"/>
      <c r="D1" s="72"/>
      <c r="E1" s="72"/>
      <c r="F1" s="72"/>
      <c r="G1" s="72"/>
      <c r="L1" s="71"/>
      <c r="M1" s="71"/>
      <c r="N1" s="71"/>
    </row>
    <row r="3" spans="2:14" s="39" customFormat="1" ht="21" x14ac:dyDescent="0.35">
      <c r="B3" s="74" t="s">
        <v>149</v>
      </c>
      <c r="C3" s="107"/>
    </row>
    <row r="4" spans="2:14" s="39" customFormat="1" ht="40.5" x14ac:dyDescent="0.35">
      <c r="B4" s="74" t="s">
        <v>150</v>
      </c>
      <c r="C4" s="107"/>
    </row>
    <row r="5" spans="2:14" s="39" customFormat="1" ht="21" x14ac:dyDescent="0.35">
      <c r="B5" s="74" t="s">
        <v>157</v>
      </c>
      <c r="C5" s="107"/>
    </row>
    <row r="6" spans="2:14" ht="21" x14ac:dyDescent="0.25">
      <c r="B6" s="74" t="s">
        <v>158</v>
      </c>
      <c r="C6" s="114"/>
    </row>
    <row r="7" spans="2:14" ht="15" customHeight="1" x14ac:dyDescent="0.25">
      <c r="C7" s="98"/>
    </row>
    <row r="8" spans="2:14" ht="15" customHeight="1" x14ac:dyDescent="0.25"/>
  </sheetData>
  <sheetProtection algorithmName="SHA-512" hashValue="bOPn3u3BDJaU8Xl62lFAF559FODFRgaN6uboztgpCfRLaE7ErT9YuZY8gskvjD3W3F+PSdvniC3wtLZUZIPkQQ==" saltValue="KsRmHEHFIQ0L9cAc63WE5Q==" spinCount="100000" sheet="1" objects="1" scenarios="1" formatCells="0" formatColumns="0" formatRows="0" insertColumns="0" insertRows="0" insertHyperlinks="0" deleteColumns="0" deleteRows="0"/>
  <mergeCells count="1">
    <mergeCell ref="B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7"/>
  <sheetViews>
    <sheetView topLeftCell="E1" workbookViewId="0">
      <selection activeCell="K2" sqref="K2"/>
    </sheetView>
  </sheetViews>
  <sheetFormatPr defaultRowHeight="15" x14ac:dyDescent="0.25"/>
  <cols>
    <col min="1" max="1" width="9.140625" style="7"/>
    <col min="2" max="8" width="11.85546875" style="7" customWidth="1"/>
    <col min="9" max="10" width="18.28515625" style="7" customWidth="1"/>
    <col min="11" max="12" width="21.42578125" style="4" customWidth="1"/>
    <col min="13" max="13" width="17.5703125" customWidth="1"/>
    <col min="14" max="14" width="29" style="4" customWidth="1"/>
  </cols>
  <sheetData>
    <row r="1" spans="1:14" ht="45" x14ac:dyDescent="0.25">
      <c r="A1" s="20" t="s">
        <v>98</v>
      </c>
      <c r="B1" s="20" t="s">
        <v>31</v>
      </c>
      <c r="C1" s="20" t="s">
        <v>37</v>
      </c>
      <c r="D1" s="19"/>
      <c r="E1" s="19"/>
      <c r="F1" s="20" t="s">
        <v>43</v>
      </c>
      <c r="G1" s="20" t="s">
        <v>38</v>
      </c>
      <c r="H1" s="20" t="s">
        <v>172</v>
      </c>
      <c r="I1" s="22" t="s">
        <v>39</v>
      </c>
      <c r="J1" s="22" t="s">
        <v>180</v>
      </c>
      <c r="K1" s="29" t="s">
        <v>101</v>
      </c>
      <c r="L1" s="29" t="s">
        <v>102</v>
      </c>
      <c r="M1" s="29" t="s">
        <v>103</v>
      </c>
      <c r="N1" s="42" t="s">
        <v>127</v>
      </c>
    </row>
    <row r="2" spans="1:14" x14ac:dyDescent="0.25">
      <c r="A2" s="21" t="s">
        <v>8</v>
      </c>
      <c r="B2" s="26" t="s">
        <v>19</v>
      </c>
      <c r="C2" s="97" t="s">
        <v>168</v>
      </c>
      <c r="D2" s="24"/>
      <c r="F2" s="21" t="s">
        <v>13</v>
      </c>
      <c r="G2" s="21" t="s">
        <v>35</v>
      </c>
      <c r="H2" s="27" t="s">
        <v>35</v>
      </c>
      <c r="I2" s="21" t="s">
        <v>19</v>
      </c>
      <c r="J2" s="27" t="s">
        <v>19</v>
      </c>
      <c r="K2" s="28" t="s">
        <v>19</v>
      </c>
      <c r="L2" s="28" t="s">
        <v>19</v>
      </c>
      <c r="M2" s="28" t="s">
        <v>35</v>
      </c>
      <c r="N2" s="4" t="s">
        <v>128</v>
      </c>
    </row>
    <row r="3" spans="1:14" x14ac:dyDescent="0.25">
      <c r="A3" s="21" t="s">
        <v>9</v>
      </c>
      <c r="B3" s="21" t="s">
        <v>20</v>
      </c>
      <c r="C3" s="23" t="s">
        <v>34</v>
      </c>
      <c r="D3" s="24"/>
      <c r="G3" s="24"/>
      <c r="H3" s="21"/>
      <c r="I3" s="23" t="s">
        <v>20</v>
      </c>
      <c r="J3" s="23" t="s">
        <v>20</v>
      </c>
      <c r="K3" s="28" t="s">
        <v>20</v>
      </c>
      <c r="L3" s="28" t="s">
        <v>20</v>
      </c>
      <c r="M3" s="28"/>
      <c r="N3" s="4" t="s">
        <v>129</v>
      </c>
    </row>
    <row r="4" spans="1:14" x14ac:dyDescent="0.25">
      <c r="A4" s="21" t="s">
        <v>10</v>
      </c>
      <c r="B4" s="21" t="s">
        <v>13</v>
      </c>
      <c r="C4" s="23" t="s">
        <v>169</v>
      </c>
      <c r="D4" s="24"/>
      <c r="G4" s="24"/>
      <c r="H4" s="21"/>
      <c r="I4" s="23" t="s">
        <v>13</v>
      </c>
      <c r="J4" s="23" t="s">
        <v>13</v>
      </c>
      <c r="K4" s="28" t="s">
        <v>13</v>
      </c>
      <c r="L4" s="28" t="s">
        <v>13</v>
      </c>
      <c r="M4" s="28"/>
      <c r="N4" s="4" t="s">
        <v>130</v>
      </c>
    </row>
    <row r="5" spans="1:14" x14ac:dyDescent="0.25">
      <c r="B5" s="21"/>
      <c r="C5" s="23" t="s">
        <v>170</v>
      </c>
      <c r="G5" s="24"/>
      <c r="H5" s="24"/>
      <c r="K5" s="25" t="s">
        <v>35</v>
      </c>
      <c r="L5" s="25" t="s">
        <v>35</v>
      </c>
    </row>
    <row r="6" spans="1:14" x14ac:dyDescent="0.25">
      <c r="B6" s="21"/>
      <c r="C6" s="23" t="s">
        <v>171</v>
      </c>
      <c r="I6" s="24"/>
      <c r="K6" s="25"/>
      <c r="L6" s="25"/>
    </row>
    <row r="7" spans="1:14" x14ac:dyDescent="0.25">
      <c r="B7" s="21"/>
      <c r="C7" s="23" t="s">
        <v>13</v>
      </c>
      <c r="K7" s="25"/>
      <c r="L7" s="2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fitToPage="1"/>
  </sheetPr>
  <dimension ref="A1:Y641"/>
  <sheetViews>
    <sheetView zoomScaleNormal="100" workbookViewId="0">
      <pane xSplit="2" ySplit="4" topLeftCell="C5" activePane="bottomRight" state="frozen"/>
      <selection pane="topRight" activeCell="C1" sqref="C1"/>
      <selection pane="bottomLeft" activeCell="A10" sqref="A10"/>
      <selection pane="bottomRight" activeCell="B5" sqref="B5"/>
    </sheetView>
  </sheetViews>
  <sheetFormatPr defaultRowHeight="15" outlineLevelRow="1" x14ac:dyDescent="0.25"/>
  <cols>
    <col min="1" max="1" width="5.7109375" style="12" customWidth="1"/>
    <col min="2" max="2" width="75.5703125" style="7" customWidth="1"/>
    <col min="3" max="3" width="16" style="7" customWidth="1"/>
    <col min="4" max="4" width="21.42578125" style="7" customWidth="1"/>
    <col min="5" max="5" width="10.140625" style="7" hidden="1" customWidth="1"/>
    <col min="6" max="6" width="11.42578125" style="7" hidden="1" customWidth="1"/>
    <col min="7" max="7" width="10.42578125" style="7" hidden="1" customWidth="1"/>
    <col min="8" max="8" width="12.140625" style="7" hidden="1" customWidth="1"/>
    <col min="9" max="9" width="11" style="7" hidden="1" customWidth="1"/>
    <col min="10" max="10" width="12.42578125" style="7" hidden="1" customWidth="1"/>
    <col min="11" max="12" width="9.140625" style="7"/>
    <col min="13" max="13" width="13.85546875" style="63" customWidth="1"/>
    <col min="14" max="25" width="9.140625" style="106"/>
  </cols>
  <sheetData>
    <row r="1" spans="1:25" s="40" customFormat="1" ht="33.75" customHeight="1" x14ac:dyDescent="0.25">
      <c r="A1" s="41"/>
      <c r="B1" s="142" t="str">
        <f>CONCATENATE("Assessment of ",Information!C3)</f>
        <v xml:space="preserve">Assessment of </v>
      </c>
      <c r="C1" s="142"/>
      <c r="D1" s="142"/>
      <c r="E1" s="142"/>
      <c r="F1" s="142"/>
      <c r="G1" s="142"/>
      <c r="H1" s="142"/>
      <c r="I1" s="142"/>
      <c r="J1" s="142"/>
      <c r="K1" s="142"/>
      <c r="L1" s="142"/>
      <c r="M1" s="142"/>
      <c r="N1" s="102"/>
      <c r="O1" s="102"/>
      <c r="P1" s="102"/>
      <c r="Q1" s="102"/>
      <c r="R1" s="102"/>
      <c r="S1" s="102"/>
      <c r="T1" s="102"/>
      <c r="U1" s="102"/>
      <c r="V1" s="102"/>
      <c r="W1" s="102"/>
      <c r="X1" s="102"/>
      <c r="Y1" s="102"/>
    </row>
    <row r="3" spans="1:25" s="4" customFormat="1" ht="40.5" customHeight="1" x14ac:dyDescent="0.25">
      <c r="A3" s="1"/>
      <c r="B3" s="3" t="s">
        <v>0</v>
      </c>
      <c r="C3" s="3" t="s">
        <v>145</v>
      </c>
      <c r="D3" s="3" t="s">
        <v>1</v>
      </c>
      <c r="E3" s="3" t="s">
        <v>124</v>
      </c>
      <c r="F3" s="3" t="s">
        <v>2</v>
      </c>
      <c r="G3" s="3" t="s">
        <v>2</v>
      </c>
      <c r="H3" s="3" t="s">
        <v>2</v>
      </c>
      <c r="I3" s="3" t="s">
        <v>2</v>
      </c>
      <c r="J3" s="3" t="s">
        <v>125</v>
      </c>
      <c r="K3" s="34" t="s">
        <v>147</v>
      </c>
      <c r="L3" s="99" t="s">
        <v>148</v>
      </c>
      <c r="M3" s="118" t="s">
        <v>385</v>
      </c>
      <c r="N3" s="103"/>
      <c r="O3" s="103"/>
      <c r="P3" s="103"/>
      <c r="Q3" s="103"/>
      <c r="R3" s="103"/>
      <c r="S3" s="103"/>
      <c r="T3" s="103"/>
      <c r="U3" s="103"/>
      <c r="V3" s="103"/>
      <c r="W3" s="103"/>
      <c r="X3" s="103"/>
      <c r="Y3" s="103"/>
    </row>
    <row r="4" spans="1:25" s="4" customFormat="1" ht="54" customHeight="1" x14ac:dyDescent="0.25">
      <c r="A4" s="2"/>
      <c r="B4" s="5" t="s">
        <v>3</v>
      </c>
      <c r="C4" s="5" t="s">
        <v>152</v>
      </c>
      <c r="D4" s="5" t="s">
        <v>163</v>
      </c>
      <c r="E4" s="5"/>
      <c r="F4" s="5" t="s">
        <v>225</v>
      </c>
      <c r="G4" s="5" t="s">
        <v>226</v>
      </c>
      <c r="H4" s="5" t="s">
        <v>227</v>
      </c>
      <c r="I4" s="5" t="s">
        <v>228</v>
      </c>
      <c r="J4" s="5"/>
      <c r="K4" s="5" t="s">
        <v>224</v>
      </c>
      <c r="L4" s="5" t="s">
        <v>224</v>
      </c>
      <c r="M4" s="5" t="s">
        <v>194</v>
      </c>
      <c r="N4" s="103"/>
      <c r="O4" s="103"/>
      <c r="P4" s="103"/>
      <c r="Q4" s="103"/>
      <c r="R4" s="103"/>
      <c r="S4" s="103"/>
      <c r="T4" s="103"/>
      <c r="U4" s="103"/>
      <c r="V4" s="103"/>
      <c r="W4" s="103"/>
      <c r="X4" s="103"/>
      <c r="Y4" s="103"/>
    </row>
    <row r="5" spans="1:25" s="6" customFormat="1" x14ac:dyDescent="0.25">
      <c r="A5" s="13">
        <v>1</v>
      </c>
      <c r="B5" s="9" t="s">
        <v>4</v>
      </c>
      <c r="C5" s="9"/>
      <c r="D5" s="9"/>
      <c r="E5" s="9"/>
      <c r="F5" s="9"/>
      <c r="G5" s="9"/>
      <c r="H5" s="33">
        <f>(H6+H56+H84+H143+H177+H202)</f>
        <v>0.99999999999999989</v>
      </c>
      <c r="I5" s="33">
        <f>(I6+I56+I84+I143+I177+I202)</f>
        <v>0.99999999999999989</v>
      </c>
      <c r="J5" s="33"/>
      <c r="K5" s="33">
        <f>(K6+K56+K84+K143+K177+K202)</f>
        <v>0</v>
      </c>
      <c r="L5" s="33">
        <f>(L6+L56+L84+L143+L177+L202)</f>
        <v>0</v>
      </c>
      <c r="M5" s="62"/>
      <c r="N5" s="104"/>
      <c r="O5" s="104"/>
      <c r="P5" s="104"/>
      <c r="Q5" s="104"/>
      <c r="R5" s="104"/>
      <c r="S5" s="104"/>
      <c r="T5" s="104"/>
      <c r="U5" s="104"/>
      <c r="V5" s="104"/>
      <c r="W5" s="104"/>
      <c r="X5" s="104"/>
      <c r="Y5" s="104"/>
    </row>
    <row r="6" spans="1:25" s="8" customFormat="1" x14ac:dyDescent="0.25">
      <c r="A6" s="14" t="s">
        <v>6</v>
      </c>
      <c r="B6" s="10" t="s">
        <v>5</v>
      </c>
      <c r="C6" s="10"/>
      <c r="D6" s="10"/>
      <c r="E6" s="17">
        <f>IF(AND($D$7="N/A",$D$15="N/A",$D$25="N/A",$D$36="N/A",$D$47="N/A"),0,1)</f>
        <v>1</v>
      </c>
      <c r="F6" s="31">
        <f>(F7+F15+F25+F36+F47)</f>
        <v>1</v>
      </c>
      <c r="G6" s="31">
        <f>(G7+G15+G25+G36+G47)</f>
        <v>1</v>
      </c>
      <c r="H6" s="31">
        <v>0.18</v>
      </c>
      <c r="I6" s="31">
        <f>IF(E6,H6*SUM($H$6,$H$56,$H$84,$H$143,$H$177,$H$202,)/($E$6*$H$6+$E$56*$H$56+$E$84*$H$84+$E$143*$H$143+$E$177*$H$177+$E$202*$H$202),0)</f>
        <v>0.18</v>
      </c>
      <c r="J6" s="31"/>
      <c r="K6" s="31">
        <f>(K7+K15+K25+K36+K47)*I6/100</f>
        <v>0</v>
      </c>
      <c r="L6" s="31">
        <f>(L7+L15+L25+L36+L47)*I6/100</f>
        <v>0</v>
      </c>
      <c r="M6" s="64"/>
      <c r="N6" s="105"/>
      <c r="O6" s="105"/>
      <c r="P6" s="105"/>
      <c r="Q6" s="105"/>
      <c r="R6" s="105"/>
      <c r="S6" s="105"/>
      <c r="T6" s="105"/>
      <c r="U6" s="105"/>
      <c r="V6" s="105"/>
      <c r="W6" s="105"/>
      <c r="X6" s="105"/>
      <c r="Y6" s="105"/>
    </row>
    <row r="7" spans="1:25" s="4" customFormat="1" collapsed="1" x14ac:dyDescent="0.25">
      <c r="A7" s="12" t="s">
        <v>7</v>
      </c>
      <c r="B7" s="7" t="s">
        <v>248</v>
      </c>
      <c r="C7" s="101"/>
      <c r="D7" s="111"/>
      <c r="E7" s="7">
        <f>IF($D7="N/A",0,1)</f>
        <v>1</v>
      </c>
      <c r="F7" s="30">
        <v>0.2</v>
      </c>
      <c r="G7" s="30">
        <f>IF(E7,F7*SUM($F$7,$F$15,$F$25,$F$36,$F$47)/($E$7*$F$7+$E$15*$F$15+$E$25*$F$25+$E$36*$F$36+$E$47*$F$47),0)</f>
        <v>0.2</v>
      </c>
      <c r="H7" s="7"/>
      <c r="I7" s="7"/>
      <c r="J7" s="7">
        <f>IF(ISBLANK($D$7),0,VLOOKUP($D$7,$B$10:$C$13,2,0))</f>
        <v>0</v>
      </c>
      <c r="K7" s="7">
        <f>J7*G7</f>
        <v>0</v>
      </c>
      <c r="L7" s="7">
        <f>IF(ISBLANK(D7),0,IF(D7="Unknown",100*G7,J7*G7))</f>
        <v>0</v>
      </c>
      <c r="M7" s="63" t="str">
        <f>IF(D7=""," ",IF(D7=B13,"X","V"))</f>
        <v xml:space="preserve"> </v>
      </c>
      <c r="N7" s="103"/>
      <c r="O7" s="103"/>
      <c r="P7" s="103"/>
      <c r="Q7" s="103"/>
      <c r="R7" s="103"/>
      <c r="S7" s="103"/>
      <c r="T7" s="103"/>
      <c r="U7" s="103"/>
      <c r="V7" s="103"/>
      <c r="W7" s="103"/>
      <c r="X7" s="103"/>
      <c r="Y7" s="103"/>
    </row>
    <row r="8" spans="1:25" s="4" customFormat="1" hidden="1" outlineLevel="1" x14ac:dyDescent="0.25">
      <c r="A8" s="12"/>
      <c r="B8" s="7"/>
      <c r="C8" s="7"/>
      <c r="D8" s="7"/>
      <c r="E8" s="7">
        <f t="shared" ref="E8:E47" si="0">IF($D8="N/A",0,1)</f>
        <v>1</v>
      </c>
      <c r="F8" s="7"/>
      <c r="G8" s="30"/>
      <c r="H8" s="7"/>
      <c r="I8" s="7"/>
      <c r="J8" s="7"/>
      <c r="K8" s="7"/>
      <c r="L8" s="7"/>
      <c r="M8" s="63"/>
      <c r="N8" s="103"/>
      <c r="O8" s="103"/>
      <c r="P8" s="103"/>
      <c r="Q8" s="103"/>
      <c r="R8" s="103"/>
      <c r="S8" s="103"/>
      <c r="T8" s="103"/>
      <c r="U8" s="103"/>
      <c r="V8" s="103"/>
      <c r="W8" s="103"/>
      <c r="X8" s="103"/>
      <c r="Y8" s="103"/>
    </row>
    <row r="9" spans="1:25" s="4" customFormat="1" hidden="1" outlineLevel="1" x14ac:dyDescent="0.25">
      <c r="A9" s="15"/>
      <c r="B9" s="108" t="s">
        <v>15</v>
      </c>
      <c r="C9" s="108"/>
      <c r="D9" s="11"/>
      <c r="E9" s="7">
        <f t="shared" si="0"/>
        <v>1</v>
      </c>
      <c r="F9" s="11"/>
      <c r="G9" s="11"/>
      <c r="H9" s="11"/>
      <c r="I9" s="11"/>
      <c r="J9" s="11"/>
      <c r="K9" s="11"/>
      <c r="L9" s="11"/>
      <c r="M9" s="65"/>
      <c r="N9" s="103"/>
      <c r="O9" s="103"/>
      <c r="P9" s="103"/>
      <c r="Q9" s="103"/>
      <c r="R9" s="103"/>
      <c r="S9" s="103"/>
      <c r="T9" s="103"/>
      <c r="U9" s="103"/>
      <c r="V9" s="103"/>
      <c r="W9" s="103"/>
      <c r="X9" s="103"/>
      <c r="Y9" s="103"/>
    </row>
    <row r="10" spans="1:25" hidden="1" outlineLevel="1" x14ac:dyDescent="0.25">
      <c r="B10" s="109" t="s">
        <v>235</v>
      </c>
      <c r="C10" s="109">
        <v>100</v>
      </c>
      <c r="E10" s="7">
        <f t="shared" si="0"/>
        <v>1</v>
      </c>
      <c r="G10" s="30"/>
    </row>
    <row r="11" spans="1:25" hidden="1" outlineLevel="1" x14ac:dyDescent="0.25">
      <c r="B11" s="109" t="s">
        <v>11</v>
      </c>
      <c r="C11" s="109">
        <v>75</v>
      </c>
      <c r="E11" s="7">
        <f t="shared" si="0"/>
        <v>1</v>
      </c>
      <c r="G11" s="30"/>
    </row>
    <row r="12" spans="1:25" hidden="1" outlineLevel="1" x14ac:dyDescent="0.25">
      <c r="B12" s="109" t="s">
        <v>12</v>
      </c>
      <c r="C12" s="109">
        <v>25</v>
      </c>
      <c r="E12" s="7">
        <f t="shared" si="0"/>
        <v>1</v>
      </c>
      <c r="G12" s="30"/>
    </row>
    <row r="13" spans="1:25" hidden="1" outlineLevel="1" x14ac:dyDescent="0.25">
      <c r="B13" s="109" t="s">
        <v>13</v>
      </c>
      <c r="C13" s="109">
        <v>0</v>
      </c>
      <c r="E13" s="7">
        <f t="shared" si="0"/>
        <v>1</v>
      </c>
      <c r="G13" s="30"/>
    </row>
    <row r="14" spans="1:25" hidden="1" outlineLevel="1" x14ac:dyDescent="0.25">
      <c r="E14" s="7">
        <f t="shared" si="0"/>
        <v>1</v>
      </c>
      <c r="G14" s="30"/>
    </row>
    <row r="15" spans="1:25" collapsed="1" x14ac:dyDescent="0.25">
      <c r="A15" s="12" t="s">
        <v>14</v>
      </c>
      <c r="B15" s="7" t="s">
        <v>334</v>
      </c>
      <c r="C15" s="101"/>
      <c r="D15" s="111"/>
      <c r="E15" s="7">
        <f t="shared" si="0"/>
        <v>1</v>
      </c>
      <c r="F15" s="30">
        <v>0.2</v>
      </c>
      <c r="G15" s="30">
        <f>IF(E15,F15*SUM($F$7,$F$15,$F$25,$F$36,$F$47)/($E$7*$F$7+$E$15*$F$15+$E$25*$F$25+$E$36*$F$36+$E$47*$F$47),0)</f>
        <v>0.2</v>
      </c>
      <c r="J15" s="7">
        <f>IF(ISBLANK($D$15),0,VLOOKUP($D$15,$B$18:$C$23,2,0))</f>
        <v>0</v>
      </c>
      <c r="K15" s="7">
        <f>J15*G15</f>
        <v>0</v>
      </c>
      <c r="L15" s="7">
        <f>IF(ISBLANK(D15),0,IF(D15="Unknown",100*G15,J15*G15))</f>
        <v>0</v>
      </c>
      <c r="M15" s="63" t="str">
        <f>IF(D15=B22,"X",IF(D15=B18,"V",IF(D15=B19,"V",IF(D15=B23,"??",IF(D15=B20,"V", IF(D15=B21,"X"," "))))))</f>
        <v xml:space="preserve"> </v>
      </c>
    </row>
    <row r="16" spans="1:25" hidden="1" outlineLevel="1" x14ac:dyDescent="0.25">
      <c r="E16" s="7">
        <f t="shared" si="0"/>
        <v>1</v>
      </c>
      <c r="G16" s="30"/>
    </row>
    <row r="17" spans="1:13" hidden="1" outlineLevel="1" x14ac:dyDescent="0.25">
      <c r="A17" s="15"/>
      <c r="B17" s="108" t="s">
        <v>15</v>
      </c>
      <c r="C17" s="108"/>
      <c r="D17" s="11"/>
      <c r="E17" s="7">
        <f t="shared" si="0"/>
        <v>1</v>
      </c>
      <c r="F17" s="11"/>
      <c r="G17" s="11"/>
      <c r="H17" s="11"/>
      <c r="I17" s="11"/>
      <c r="J17" s="11"/>
      <c r="K17" s="11"/>
      <c r="L17" s="11"/>
      <c r="M17" s="65"/>
    </row>
    <row r="18" spans="1:13" hidden="1" outlineLevel="1" x14ac:dyDescent="0.25">
      <c r="B18" s="109" t="s">
        <v>235</v>
      </c>
      <c r="C18" s="109">
        <v>100</v>
      </c>
      <c r="E18" s="7">
        <f t="shared" si="0"/>
        <v>1</v>
      </c>
    </row>
    <row r="19" spans="1:13" hidden="1" outlineLevel="1" x14ac:dyDescent="0.25">
      <c r="B19" s="109" t="s">
        <v>333</v>
      </c>
      <c r="C19" s="109">
        <v>75</v>
      </c>
      <c r="E19" s="7">
        <f t="shared" si="0"/>
        <v>1</v>
      </c>
    </row>
    <row r="20" spans="1:13" ht="30" hidden="1" outlineLevel="1" x14ac:dyDescent="0.25">
      <c r="B20" s="109" t="s">
        <v>289</v>
      </c>
      <c r="C20" s="109">
        <v>75</v>
      </c>
      <c r="E20" s="7">
        <f t="shared" si="0"/>
        <v>1</v>
      </c>
    </row>
    <row r="21" spans="1:13" ht="30" hidden="1" outlineLevel="1" x14ac:dyDescent="0.25">
      <c r="B21" s="109" t="s">
        <v>335</v>
      </c>
      <c r="C21" s="109">
        <v>50</v>
      </c>
    </row>
    <row r="22" spans="1:13" hidden="1" outlineLevel="1" x14ac:dyDescent="0.25">
      <c r="B22" s="109" t="s">
        <v>336</v>
      </c>
      <c r="C22" s="109">
        <v>25</v>
      </c>
      <c r="E22" s="7">
        <f t="shared" si="0"/>
        <v>1</v>
      </c>
    </row>
    <row r="23" spans="1:13" hidden="1" outlineLevel="1" x14ac:dyDescent="0.25">
      <c r="B23" s="109" t="s">
        <v>13</v>
      </c>
      <c r="C23" s="109">
        <v>0</v>
      </c>
      <c r="E23" s="7">
        <f t="shared" si="0"/>
        <v>1</v>
      </c>
    </row>
    <row r="24" spans="1:13" hidden="1" outlineLevel="1" x14ac:dyDescent="0.25">
      <c r="E24" s="7">
        <f t="shared" si="0"/>
        <v>1</v>
      </c>
    </row>
    <row r="25" spans="1:13" collapsed="1" x14ac:dyDescent="0.25">
      <c r="A25" s="12" t="s">
        <v>17</v>
      </c>
      <c r="B25" s="7" t="s">
        <v>164</v>
      </c>
      <c r="C25" s="101"/>
      <c r="D25" s="111"/>
      <c r="E25" s="7">
        <f t="shared" si="0"/>
        <v>1</v>
      </c>
      <c r="F25" s="30">
        <v>0.2</v>
      </c>
      <c r="G25" s="30">
        <f>IF(E25,F25*SUM($F$7,$F$15,$F$25,$F$36,$F$47,)/($E$7*$F$7+$E$15*$F$15+$E$25*$F$25+$E$36*$F$36+$E$47*$F$47),0)</f>
        <v>0.2</v>
      </c>
      <c r="J25" s="7">
        <f>IF(ISBLANK($D$25),0,VLOOKUP($D$25,$B$31:$C$34,2,0))</f>
        <v>0</v>
      </c>
      <c r="K25" s="7">
        <f>J25*G25</f>
        <v>0</v>
      </c>
      <c r="L25" s="7">
        <f>IF(ISBLANK(D25),0,IF(D25="Unknown",100*G25,J25*G25))</f>
        <v>0</v>
      </c>
      <c r="M25" s="63" t="str">
        <f>IF(D25=B32,"X",IF(D25=B31,"V",IF(D25=B34,"N/A",IF(D25=B33,"??", " "))))</f>
        <v xml:space="preserve"> </v>
      </c>
    </row>
    <row r="26" spans="1:13" hidden="1" outlineLevel="1" x14ac:dyDescent="0.25">
      <c r="E26" s="7">
        <f t="shared" si="0"/>
        <v>1</v>
      </c>
      <c r="G26" s="30"/>
    </row>
    <row r="27" spans="1:13" hidden="1" outlineLevel="1" x14ac:dyDescent="0.25">
      <c r="A27" s="15"/>
      <c r="B27" s="108" t="s">
        <v>16</v>
      </c>
      <c r="C27" s="108"/>
      <c r="D27" s="11"/>
      <c r="E27" s="7">
        <f t="shared" si="0"/>
        <v>1</v>
      </c>
      <c r="F27" s="11"/>
      <c r="G27" s="11"/>
      <c r="H27" s="11"/>
      <c r="I27" s="11"/>
      <c r="J27" s="11"/>
      <c r="K27" s="11"/>
      <c r="L27" s="11"/>
      <c r="M27" s="65"/>
    </row>
    <row r="28" spans="1:13" ht="30" hidden="1" outlineLevel="1" x14ac:dyDescent="0.25">
      <c r="B28" s="109" t="s">
        <v>165</v>
      </c>
      <c r="C28" s="109"/>
      <c r="E28" s="7">
        <f t="shared" si="0"/>
        <v>1</v>
      </c>
      <c r="G28" s="30"/>
    </row>
    <row r="29" spans="1:13" hidden="1" outlineLevel="1" x14ac:dyDescent="0.25">
      <c r="B29" s="109"/>
      <c r="C29" s="109"/>
      <c r="E29" s="7">
        <f t="shared" si="0"/>
        <v>1</v>
      </c>
      <c r="G29" s="30"/>
    </row>
    <row r="30" spans="1:13" hidden="1" outlineLevel="1" x14ac:dyDescent="0.25">
      <c r="A30" s="15"/>
      <c r="B30" s="108" t="s">
        <v>15</v>
      </c>
      <c r="C30" s="108"/>
      <c r="D30" s="11"/>
      <c r="E30" s="7">
        <f t="shared" si="0"/>
        <v>1</v>
      </c>
      <c r="F30" s="11"/>
      <c r="G30" s="11"/>
      <c r="H30" s="11"/>
      <c r="I30" s="11"/>
      <c r="J30" s="11"/>
      <c r="K30" s="11"/>
      <c r="L30" s="11"/>
      <c r="M30" s="65"/>
    </row>
    <row r="31" spans="1:13" hidden="1" outlineLevel="1" x14ac:dyDescent="0.25">
      <c r="B31" s="109" t="s">
        <v>19</v>
      </c>
      <c r="C31" s="109">
        <v>100</v>
      </c>
      <c r="E31" s="7">
        <f t="shared" si="0"/>
        <v>1</v>
      </c>
      <c r="G31" s="30"/>
    </row>
    <row r="32" spans="1:13" hidden="1" outlineLevel="1" x14ac:dyDescent="0.25">
      <c r="B32" s="109" t="s">
        <v>20</v>
      </c>
      <c r="C32" s="109">
        <v>0</v>
      </c>
      <c r="E32" s="7">
        <f t="shared" si="0"/>
        <v>1</v>
      </c>
      <c r="G32" s="30"/>
    </row>
    <row r="33" spans="1:13" hidden="1" outlineLevel="1" x14ac:dyDescent="0.25">
      <c r="B33" s="109" t="s">
        <v>13</v>
      </c>
      <c r="C33" s="109">
        <v>0</v>
      </c>
      <c r="E33" s="7">
        <f t="shared" si="0"/>
        <v>1</v>
      </c>
      <c r="G33" s="30"/>
    </row>
    <row r="34" spans="1:13" hidden="1" outlineLevel="1" x14ac:dyDescent="0.25">
      <c r="B34" s="109" t="s">
        <v>35</v>
      </c>
      <c r="C34" s="109">
        <v>-1</v>
      </c>
      <c r="E34" s="7">
        <f t="shared" si="0"/>
        <v>1</v>
      </c>
      <c r="G34" s="30"/>
    </row>
    <row r="35" spans="1:13" hidden="1" outlineLevel="1" x14ac:dyDescent="0.25">
      <c r="E35" s="7">
        <f t="shared" si="0"/>
        <v>1</v>
      </c>
      <c r="G35" s="30"/>
    </row>
    <row r="36" spans="1:13" ht="45" collapsed="1" x14ac:dyDescent="0.25">
      <c r="A36" s="12" t="s">
        <v>18</v>
      </c>
      <c r="B36" s="7" t="s">
        <v>249</v>
      </c>
      <c r="C36" s="101"/>
      <c r="D36" s="111"/>
      <c r="E36" s="7">
        <f t="shared" si="0"/>
        <v>1</v>
      </c>
      <c r="F36" s="30">
        <v>0.2</v>
      </c>
      <c r="G36" s="30">
        <f>IF(E36,F36*SUM($F$7,$F$15,$F$25,$F$36,$F$47)/($E$7*$F$7+$E$15*$F$15+$E$25*$F$25+$E$36*$F$36+$E$47*$F$47),0)</f>
        <v>0.2</v>
      </c>
      <c r="J36" s="7">
        <f>IF(ISBLANK($D$36),0,VLOOKUP($D$36,$B$42:$C$45,2,0))</f>
        <v>0</v>
      </c>
      <c r="K36" s="7">
        <f>J36*G36</f>
        <v>0</v>
      </c>
      <c r="L36" s="7">
        <f>IF(ISBLANK(D36),0,IF(D36="Unknown",100*G36,J36*G36))</f>
        <v>0</v>
      </c>
      <c r="M36" s="63" t="str">
        <f>IF(D36=B42,"X",IF(D36=B43,"V",IF(D36=B45,"N/A",IF(D36=B44,"??", " "))))</f>
        <v xml:space="preserve"> </v>
      </c>
    </row>
    <row r="37" spans="1:13" hidden="1" outlineLevel="1" x14ac:dyDescent="0.25">
      <c r="E37" s="7">
        <f t="shared" si="0"/>
        <v>1</v>
      </c>
      <c r="G37" s="30"/>
    </row>
    <row r="38" spans="1:13" hidden="1" outlineLevel="1" x14ac:dyDescent="0.25">
      <c r="A38" s="15"/>
      <c r="B38" s="108" t="s">
        <v>16</v>
      </c>
      <c r="C38" s="108"/>
      <c r="D38" s="11"/>
      <c r="E38" s="7">
        <f t="shared" si="0"/>
        <v>1</v>
      </c>
      <c r="F38" s="11"/>
      <c r="G38" s="11"/>
      <c r="H38" s="11"/>
      <c r="I38" s="11"/>
      <c r="J38" s="11"/>
      <c r="K38" s="11"/>
      <c r="L38" s="11"/>
      <c r="M38" s="65"/>
    </row>
    <row r="39" spans="1:13" hidden="1" outlineLevel="1" x14ac:dyDescent="0.25">
      <c r="B39" s="109" t="s">
        <v>184</v>
      </c>
      <c r="C39" s="109"/>
      <c r="E39" s="7">
        <f t="shared" si="0"/>
        <v>1</v>
      </c>
      <c r="G39" s="30"/>
    </row>
    <row r="40" spans="1:13" hidden="1" outlineLevel="1" x14ac:dyDescent="0.25">
      <c r="B40" s="109"/>
      <c r="C40" s="109"/>
      <c r="E40" s="7">
        <f t="shared" si="0"/>
        <v>1</v>
      </c>
      <c r="G40" s="30"/>
    </row>
    <row r="41" spans="1:13" hidden="1" outlineLevel="1" x14ac:dyDescent="0.25">
      <c r="A41" s="15"/>
      <c r="B41" s="108" t="s">
        <v>15</v>
      </c>
      <c r="C41" s="108"/>
      <c r="D41" s="11"/>
      <c r="E41" s="7">
        <f t="shared" si="0"/>
        <v>1</v>
      </c>
      <c r="F41" s="11"/>
      <c r="G41" s="11"/>
      <c r="H41" s="11"/>
      <c r="I41" s="11"/>
      <c r="J41" s="11"/>
      <c r="K41" s="11"/>
      <c r="L41" s="11"/>
      <c r="M41" s="65"/>
    </row>
    <row r="42" spans="1:13" hidden="1" outlineLevel="1" x14ac:dyDescent="0.25">
      <c r="B42" s="109" t="s">
        <v>19</v>
      </c>
      <c r="C42" s="109">
        <v>0</v>
      </c>
      <c r="E42" s="7">
        <f t="shared" si="0"/>
        <v>1</v>
      </c>
      <c r="G42" s="30"/>
    </row>
    <row r="43" spans="1:13" hidden="1" outlineLevel="1" x14ac:dyDescent="0.25">
      <c r="B43" s="109" t="s">
        <v>20</v>
      </c>
      <c r="C43" s="109">
        <v>100</v>
      </c>
      <c r="E43" s="7">
        <f t="shared" si="0"/>
        <v>1</v>
      </c>
      <c r="G43" s="30"/>
    </row>
    <row r="44" spans="1:13" hidden="1" outlineLevel="1" x14ac:dyDescent="0.25">
      <c r="B44" s="109" t="s">
        <v>13</v>
      </c>
      <c r="C44" s="109">
        <v>0</v>
      </c>
      <c r="E44" s="7">
        <f t="shared" si="0"/>
        <v>1</v>
      </c>
      <c r="G44" s="30"/>
    </row>
    <row r="45" spans="1:13" hidden="1" outlineLevel="1" x14ac:dyDescent="0.25">
      <c r="B45" s="109" t="s">
        <v>35</v>
      </c>
      <c r="C45" s="109">
        <v>-1</v>
      </c>
      <c r="E45" s="7">
        <f t="shared" si="0"/>
        <v>1</v>
      </c>
      <c r="G45" s="30"/>
    </row>
    <row r="46" spans="1:13" hidden="1" outlineLevel="1" x14ac:dyDescent="0.25">
      <c r="E46" s="7">
        <f t="shared" si="0"/>
        <v>1</v>
      </c>
      <c r="G46" s="30"/>
    </row>
    <row r="47" spans="1:13" ht="30" collapsed="1" x14ac:dyDescent="0.25">
      <c r="A47" s="12" t="s">
        <v>21</v>
      </c>
      <c r="B47" s="7" t="s">
        <v>166</v>
      </c>
      <c r="C47" s="101"/>
      <c r="D47" s="111"/>
      <c r="E47" s="7">
        <f t="shared" si="0"/>
        <v>1</v>
      </c>
      <c r="F47" s="30">
        <v>0.2</v>
      </c>
      <c r="G47" s="30">
        <f>IF(E47,F47*SUM($F$7,$F$15,$F$25,$F$36,$F$47)/($E$7*$F$7+$E$15*$F$15+$E$25*$F$25+$E$36*$F$36+$E$47*$F$47),0)</f>
        <v>0.2</v>
      </c>
      <c r="J47" s="7">
        <f>IF(ISBLANK($D$47),0,VLOOKUP($D$47,$B$50:$C$53,2,0))</f>
        <v>0</v>
      </c>
      <c r="K47" s="7">
        <f>J47*G47</f>
        <v>0</v>
      </c>
      <c r="L47" s="7">
        <f>IF(ISBLANK(D47),0,IF(D47="Unknown",100*G47,J47*G47))</f>
        <v>0</v>
      </c>
      <c r="M47" s="63" t="str">
        <f>IF(D47=B50,"X",IF(D47=B51,"V",IF(D47=B53,"N/A",IF(D47=B52,"??", " "))))</f>
        <v xml:space="preserve"> </v>
      </c>
    </row>
    <row r="48" spans="1:13" hidden="1" outlineLevel="1" x14ac:dyDescent="0.25">
      <c r="G48" s="30"/>
    </row>
    <row r="49" spans="1:13" hidden="1" outlineLevel="1" x14ac:dyDescent="0.25">
      <c r="A49" s="15"/>
      <c r="B49" s="108" t="s">
        <v>15</v>
      </c>
      <c r="C49" s="108"/>
      <c r="D49" s="11"/>
      <c r="E49" s="11"/>
      <c r="F49" s="11"/>
      <c r="G49" s="11"/>
      <c r="H49" s="11"/>
      <c r="I49" s="11"/>
      <c r="J49" s="11"/>
      <c r="K49" s="11"/>
      <c r="L49" s="11"/>
      <c r="M49" s="65"/>
    </row>
    <row r="50" spans="1:13" hidden="1" outlineLevel="1" x14ac:dyDescent="0.25">
      <c r="B50" s="109" t="s">
        <v>19</v>
      </c>
      <c r="C50" s="109">
        <v>0</v>
      </c>
      <c r="G50" s="30"/>
    </row>
    <row r="51" spans="1:13" hidden="1" outlineLevel="1" x14ac:dyDescent="0.25">
      <c r="B51" s="109" t="s">
        <v>20</v>
      </c>
      <c r="C51" s="109">
        <v>100</v>
      </c>
      <c r="G51" s="30"/>
    </row>
    <row r="52" spans="1:13" hidden="1" outlineLevel="1" x14ac:dyDescent="0.25">
      <c r="B52" s="109" t="s">
        <v>13</v>
      </c>
      <c r="C52" s="109">
        <v>0</v>
      </c>
      <c r="G52" s="30"/>
    </row>
    <row r="53" spans="1:13" hidden="1" outlineLevel="1" x14ac:dyDescent="0.25">
      <c r="B53" s="109" t="s">
        <v>35</v>
      </c>
      <c r="C53" s="109">
        <v>-1</v>
      </c>
      <c r="G53" s="30"/>
    </row>
    <row r="54" spans="1:13" hidden="1" outlineLevel="1" x14ac:dyDescent="0.25">
      <c r="G54" s="30"/>
    </row>
    <row r="55" spans="1:13" hidden="1" outlineLevel="1" x14ac:dyDescent="0.25"/>
    <row r="56" spans="1:13" x14ac:dyDescent="0.25">
      <c r="A56" s="16" t="s">
        <v>22</v>
      </c>
      <c r="B56" s="17" t="s">
        <v>23</v>
      </c>
      <c r="C56" s="17"/>
      <c r="D56" s="17"/>
      <c r="E56" s="17">
        <f>IF(AND($D$57="N/A",$D$65="N/A",$D$76="N/A"),0,1)</f>
        <v>1</v>
      </c>
      <c r="F56" s="32">
        <f>(F57+F65+F76)</f>
        <v>0.99999999999999967</v>
      </c>
      <c r="G56" s="32">
        <f>(G57+G65+G76)</f>
        <v>0.99999999999999967</v>
      </c>
      <c r="H56" s="32">
        <v>0.18</v>
      </c>
      <c r="I56" s="31">
        <f>IF(E56,H56*SUM($H$6,$H$56,$H$84,$H$143,$H$177,$H$202,)/($E$6*$H$6+$E$56*$H$56+$E$84*$H$84+$E$143*$H$143+$E$177*$H$177+$E$202*$H$202),0)</f>
        <v>0.18</v>
      </c>
      <c r="J56" s="32"/>
      <c r="K56" s="32">
        <f>(K57+K65+K76)*I56/100</f>
        <v>0</v>
      </c>
      <c r="L56" s="32">
        <f>(L57+L65+L76)*I56/100</f>
        <v>0</v>
      </c>
      <c r="M56" s="64"/>
    </row>
    <row r="57" spans="1:13" ht="30" collapsed="1" x14ac:dyDescent="0.25">
      <c r="A57" s="12" t="s">
        <v>24</v>
      </c>
      <c r="B57" s="7" t="s">
        <v>380</v>
      </c>
      <c r="C57" s="101"/>
      <c r="D57" s="111"/>
      <c r="E57" s="7">
        <f>IF($D57="N/A",0,1)</f>
        <v>1</v>
      </c>
      <c r="F57" s="30">
        <v>0.33333333333333298</v>
      </c>
      <c r="G57" s="30">
        <f>IF(E57,F57*SUM($F$57,$F$65,$F$76,)/($E$57*$F$57+$E$65*$F$65+$E$76*$F$76),0)</f>
        <v>0.33333333333333298</v>
      </c>
      <c r="J57" s="7">
        <f>IF(ISBLANK($D$57),0,VLOOKUP($D$57,$B$60:$C$63,2,0))</f>
        <v>0</v>
      </c>
      <c r="K57" s="7">
        <f>J57*G57</f>
        <v>0</v>
      </c>
      <c r="L57" s="7">
        <f>IF(ISBLANK(D57),0,IF(D57="Unknown",100*G57,J57*G57))</f>
        <v>0</v>
      </c>
      <c r="M57" s="119" t="str">
        <f>IF(D57=B60,"V",IF(D57=B61,"X",IF(D57=B62,"??",IF(D57=B63,"N/A"," "))))</f>
        <v xml:space="preserve"> </v>
      </c>
    </row>
    <row r="58" spans="1:13" hidden="1" outlineLevel="1" x14ac:dyDescent="0.25">
      <c r="B58" s="109"/>
      <c r="C58" s="109"/>
      <c r="G58" s="30"/>
      <c r="M58" s="7"/>
    </row>
    <row r="59" spans="1:13" hidden="1" outlineLevel="1" x14ac:dyDescent="0.25">
      <c r="A59" s="15"/>
      <c r="B59" s="108" t="s">
        <v>15</v>
      </c>
      <c r="C59" s="108"/>
      <c r="D59" s="11"/>
      <c r="E59" s="11"/>
      <c r="F59" s="11"/>
      <c r="G59" s="11"/>
      <c r="H59" s="11"/>
      <c r="I59" s="11"/>
      <c r="J59" s="11"/>
      <c r="K59" s="11"/>
      <c r="L59" s="11"/>
      <c r="M59" s="11"/>
    </row>
    <row r="60" spans="1:13" hidden="1" outlineLevel="1" x14ac:dyDescent="0.25">
      <c r="B60" s="109" t="s">
        <v>19</v>
      </c>
      <c r="C60" s="109">
        <v>100</v>
      </c>
      <c r="G60" s="30"/>
      <c r="M60" s="7"/>
    </row>
    <row r="61" spans="1:13" hidden="1" outlineLevel="1" x14ac:dyDescent="0.25">
      <c r="B61" s="109" t="s">
        <v>20</v>
      </c>
      <c r="C61" s="109">
        <v>0</v>
      </c>
      <c r="G61" s="30"/>
      <c r="M61" s="7"/>
    </row>
    <row r="62" spans="1:13" hidden="1" outlineLevel="1" x14ac:dyDescent="0.25">
      <c r="B62" s="109" t="s">
        <v>13</v>
      </c>
      <c r="C62" s="109">
        <v>0</v>
      </c>
      <c r="G62" s="30"/>
      <c r="M62" s="7"/>
    </row>
    <row r="63" spans="1:13" hidden="1" outlineLevel="1" x14ac:dyDescent="0.25">
      <c r="B63" s="109" t="s">
        <v>35</v>
      </c>
      <c r="C63" s="109">
        <v>-1</v>
      </c>
      <c r="G63" s="30"/>
      <c r="M63" s="7"/>
    </row>
    <row r="64" spans="1:13" hidden="1" outlineLevel="1" x14ac:dyDescent="0.25">
      <c r="G64" s="30"/>
      <c r="M64" s="7"/>
    </row>
    <row r="65" spans="1:13" ht="30" collapsed="1" x14ac:dyDescent="0.25">
      <c r="A65" s="12" t="s">
        <v>25</v>
      </c>
      <c r="B65" s="7" t="s">
        <v>379</v>
      </c>
      <c r="C65" s="101"/>
      <c r="D65" s="111"/>
      <c r="E65" s="7">
        <f>IF($D$65="N/A",0,1)</f>
        <v>1</v>
      </c>
      <c r="F65" s="30">
        <v>0.33333333333333337</v>
      </c>
      <c r="G65" s="30">
        <f>IF(E65,F65*SUM($F$57,$F$65,$F$76,)/($E$57*$F$57+$E$65*$F$65+$E$76*$F$76),0)</f>
        <v>0.33333333333333337</v>
      </c>
      <c r="J65" s="7">
        <f>IF(ISBLANK($D$65),0,VLOOKUP($D$65,$B$71:$C$74,2,0))</f>
        <v>0</v>
      </c>
      <c r="K65" s="7">
        <f>J65*G65</f>
        <v>0</v>
      </c>
      <c r="L65" s="7">
        <f>IF(ISBLANK(D65),0,IF(D65="Unknown",100*G65,J65*G65))</f>
        <v>0</v>
      </c>
      <c r="M65" s="119" t="str">
        <f>IF(D65=B71,"V",IF(D65=B72,"X",IF(D65=B73,"??",IF(D65=B74,"N/A"," "))))</f>
        <v xml:space="preserve"> </v>
      </c>
    </row>
    <row r="66" spans="1:13" hidden="1" outlineLevel="1" x14ac:dyDescent="0.25">
      <c r="G66" s="30"/>
    </row>
    <row r="67" spans="1:13" hidden="1" outlineLevel="1" x14ac:dyDescent="0.25">
      <c r="A67" s="15"/>
      <c r="B67" s="108" t="s">
        <v>16</v>
      </c>
      <c r="C67" s="108"/>
      <c r="D67" s="11"/>
      <c r="E67" s="11"/>
      <c r="F67" s="11"/>
      <c r="G67" s="11"/>
      <c r="H67" s="11"/>
      <c r="I67" s="11"/>
      <c r="J67" s="11"/>
      <c r="K67" s="11"/>
      <c r="L67" s="11"/>
      <c r="M67" s="65"/>
    </row>
    <row r="68" spans="1:13" hidden="1" outlineLevel="1" x14ac:dyDescent="0.25">
      <c r="B68" s="109" t="s">
        <v>44</v>
      </c>
      <c r="C68" s="109"/>
      <c r="G68" s="30"/>
    </row>
    <row r="69" spans="1:13" hidden="1" outlineLevel="1" x14ac:dyDescent="0.25">
      <c r="B69" s="109"/>
      <c r="C69" s="109"/>
      <c r="G69" s="30"/>
    </row>
    <row r="70" spans="1:13" hidden="1" outlineLevel="1" x14ac:dyDescent="0.25">
      <c r="A70" s="15"/>
      <c r="B70" s="108" t="s">
        <v>15</v>
      </c>
      <c r="C70" s="108"/>
      <c r="D70" s="11"/>
      <c r="E70" s="11"/>
      <c r="F70" s="11"/>
      <c r="G70" s="11"/>
      <c r="H70" s="11"/>
      <c r="I70" s="11"/>
      <c r="J70" s="11"/>
      <c r="K70" s="11"/>
      <c r="L70" s="11"/>
      <c r="M70" s="65"/>
    </row>
    <row r="71" spans="1:13" hidden="1" outlineLevel="1" x14ac:dyDescent="0.25">
      <c r="B71" s="109" t="s">
        <v>19</v>
      </c>
      <c r="C71" s="109">
        <v>100</v>
      </c>
      <c r="G71" s="30"/>
    </row>
    <row r="72" spans="1:13" hidden="1" outlineLevel="1" x14ac:dyDescent="0.25">
      <c r="B72" s="109" t="s">
        <v>20</v>
      </c>
      <c r="C72" s="109">
        <v>0</v>
      </c>
      <c r="G72" s="30"/>
    </row>
    <row r="73" spans="1:13" hidden="1" outlineLevel="1" x14ac:dyDescent="0.25">
      <c r="B73" s="109" t="s">
        <v>13</v>
      </c>
      <c r="C73" s="109">
        <v>0</v>
      </c>
      <c r="G73" s="30"/>
    </row>
    <row r="74" spans="1:13" hidden="1" outlineLevel="1" x14ac:dyDescent="0.25">
      <c r="B74" s="109" t="s">
        <v>35</v>
      </c>
      <c r="C74" s="109">
        <v>-1</v>
      </c>
      <c r="G74" s="30"/>
    </row>
    <row r="75" spans="1:13" hidden="1" outlineLevel="1" x14ac:dyDescent="0.25">
      <c r="G75" s="30"/>
    </row>
    <row r="76" spans="1:13" ht="30" collapsed="1" x14ac:dyDescent="0.25">
      <c r="A76" s="12" t="s">
        <v>26</v>
      </c>
      <c r="B76" s="7" t="s">
        <v>337</v>
      </c>
      <c r="C76" s="101"/>
      <c r="D76" s="111"/>
      <c r="E76" s="7">
        <f>IF($D$76="N/A",0,1)</f>
        <v>1</v>
      </c>
      <c r="F76" s="30">
        <v>0.33333333333333337</v>
      </c>
      <c r="G76" s="30">
        <f>IF(E76,F76*SUM($F$57,$F$65,$F$76,)/($E$57*$F$57+$E$65*$F$65+$E$76*$F$76),0)</f>
        <v>0.33333333333333337</v>
      </c>
      <c r="J76" s="7">
        <f>IF(ISBLANK($D$76),0,VLOOKUP($D$76,$B$79:$C$82,2,0))</f>
        <v>0</v>
      </c>
      <c r="K76" s="7">
        <f>J76*G76</f>
        <v>0</v>
      </c>
      <c r="L76" s="7">
        <f>IF(ISBLANK(D76),0,IF(D76="Unknown",100*G76,J76*G76))</f>
        <v>0</v>
      </c>
      <c r="M76" s="119" t="str">
        <f>IF(D76=B79,"V",IF(D76=B80,"X",IF(D76=B81,"??",IF(D76=B82,"N/A"," "))))</f>
        <v xml:space="preserve"> </v>
      </c>
    </row>
    <row r="77" spans="1:13" hidden="1" outlineLevel="1" x14ac:dyDescent="0.25"/>
    <row r="78" spans="1:13" hidden="1" outlineLevel="1" x14ac:dyDescent="0.25">
      <c r="A78" s="15"/>
      <c r="B78" s="108" t="s">
        <v>15</v>
      </c>
      <c r="C78" s="108"/>
      <c r="D78" s="11"/>
      <c r="E78" s="11"/>
      <c r="F78" s="11"/>
      <c r="G78" s="11"/>
      <c r="H78" s="11"/>
      <c r="I78" s="11"/>
      <c r="J78" s="11"/>
      <c r="K78" s="11"/>
      <c r="L78" s="11"/>
      <c r="M78" s="65"/>
    </row>
    <row r="79" spans="1:13" hidden="1" outlineLevel="1" x14ac:dyDescent="0.25">
      <c r="B79" s="109" t="s">
        <v>19</v>
      </c>
      <c r="C79" s="109">
        <v>100</v>
      </c>
    </row>
    <row r="80" spans="1:13" hidden="1" outlineLevel="1" x14ac:dyDescent="0.25">
      <c r="B80" s="109" t="s">
        <v>20</v>
      </c>
      <c r="C80" s="109">
        <v>0</v>
      </c>
    </row>
    <row r="81" spans="1:13" hidden="1" outlineLevel="1" x14ac:dyDescent="0.25">
      <c r="B81" s="109" t="s">
        <v>13</v>
      </c>
      <c r="C81" s="109">
        <v>0</v>
      </c>
    </row>
    <row r="82" spans="1:13" hidden="1" outlineLevel="1" x14ac:dyDescent="0.25">
      <c r="B82" s="109" t="s">
        <v>35</v>
      </c>
      <c r="C82" s="109">
        <v>-1</v>
      </c>
    </row>
    <row r="83" spans="1:13" hidden="1" outlineLevel="1" x14ac:dyDescent="0.25"/>
    <row r="84" spans="1:13" x14ac:dyDescent="0.25">
      <c r="A84" s="16" t="s">
        <v>28</v>
      </c>
      <c r="B84" s="17" t="s">
        <v>27</v>
      </c>
      <c r="C84" s="17"/>
      <c r="D84" s="17"/>
      <c r="E84" s="17">
        <f>IF(AND($D$85="N/A",$D$96="N/A",$D$108="N/A",$D$119="N/A",$D$130="N/A"),0,1)</f>
        <v>1</v>
      </c>
      <c r="F84" s="32">
        <f>(F85+F96+F108+F119+F130)</f>
        <v>1</v>
      </c>
      <c r="G84" s="32">
        <f>(G85+G96+G108+G119+G130)</f>
        <v>1</v>
      </c>
      <c r="H84" s="32">
        <v>0.18</v>
      </c>
      <c r="I84" s="31">
        <f>IF(E84,H84*SUM($H$6,$H$56,$H$84,$H$143,$H$177,$H$202,)/($E$6*$H$6+$E$56*$H$56+$E$84*$H$84+$E$143*$H$143+$E$177*$H$177+$E$202*$H$202),0)</f>
        <v>0.18</v>
      </c>
      <c r="J84" s="32"/>
      <c r="K84" s="32">
        <f>(K85+K96+K108+K119+K130)*I84/100</f>
        <v>0</v>
      </c>
      <c r="L84" s="32">
        <f>(L85+L96+L108+L119+L130)*I84/100</f>
        <v>0</v>
      </c>
      <c r="M84" s="64"/>
    </row>
    <row r="85" spans="1:13" ht="30" collapsed="1" x14ac:dyDescent="0.25">
      <c r="A85" s="12" t="s">
        <v>29</v>
      </c>
      <c r="B85" s="7" t="s">
        <v>167</v>
      </c>
      <c r="C85" s="101"/>
      <c r="D85" s="111"/>
      <c r="E85" s="7">
        <f>IF($D85="N/A",0,1)</f>
        <v>1</v>
      </c>
      <c r="F85" s="30">
        <v>0.18</v>
      </c>
      <c r="G85" s="30">
        <f>IF(E85,F85*SUM($F$85,$F$96,$F$108,$F$119,$F$130,)/($E$85*$F$85+$E$96*$F$96+$E$108*$F$108+$E$119*$F$119+$E$130*$F$130),0)</f>
        <v>0.18</v>
      </c>
      <c r="J85" s="7">
        <f>IF(ISBLANK($D$85),0,VLOOKUP($D$85,$B$88:$C$94,2,0))</f>
        <v>0</v>
      </c>
      <c r="K85" s="7">
        <f>J85*G85</f>
        <v>0</v>
      </c>
      <c r="L85" s="7">
        <f>IF(ISBLANK(D85),0,IF(D85="Unknown",100*G85,J85*G85))</f>
        <v>0</v>
      </c>
      <c r="M85" s="119" t="str">
        <f>IF(D85=B88,"V",IF(D85=B94,"??",IF(D85=""," ","X")))</f>
        <v xml:space="preserve"> </v>
      </c>
    </row>
    <row r="86" spans="1:13" hidden="1" outlineLevel="1" x14ac:dyDescent="0.25">
      <c r="G86" s="30"/>
    </row>
    <row r="87" spans="1:13" hidden="1" outlineLevel="1" x14ac:dyDescent="0.25">
      <c r="A87" s="15"/>
      <c r="B87" s="108" t="s">
        <v>15</v>
      </c>
      <c r="C87" s="108"/>
      <c r="D87" s="11"/>
      <c r="E87" s="11"/>
      <c r="F87" s="11"/>
      <c r="G87" s="11"/>
      <c r="H87" s="11"/>
      <c r="I87" s="11"/>
      <c r="J87" s="11"/>
      <c r="K87" s="11"/>
      <c r="L87" s="11"/>
      <c r="M87" s="65"/>
    </row>
    <row r="88" spans="1:13" hidden="1" outlineLevel="1" x14ac:dyDescent="0.25">
      <c r="B88" s="109" t="s">
        <v>339</v>
      </c>
      <c r="C88" s="109">
        <v>100</v>
      </c>
      <c r="G88" s="30"/>
    </row>
    <row r="89" spans="1:13" hidden="1" outlineLevel="1" x14ac:dyDescent="0.25">
      <c r="B89" s="109" t="s">
        <v>168</v>
      </c>
      <c r="C89" s="109">
        <v>80</v>
      </c>
      <c r="G89" s="30"/>
    </row>
    <row r="90" spans="1:13" hidden="1" outlineLevel="1" x14ac:dyDescent="0.25">
      <c r="B90" s="109" t="s">
        <v>34</v>
      </c>
      <c r="C90" s="109">
        <v>65</v>
      </c>
      <c r="G90" s="30"/>
    </row>
    <row r="91" spans="1:13" hidden="1" outlineLevel="1" x14ac:dyDescent="0.25">
      <c r="B91" s="109" t="s">
        <v>169</v>
      </c>
      <c r="C91" s="109">
        <v>35</v>
      </c>
      <c r="G91" s="30"/>
    </row>
    <row r="92" spans="1:13" hidden="1" outlineLevel="1" x14ac:dyDescent="0.25">
      <c r="B92" s="109" t="s">
        <v>170</v>
      </c>
      <c r="C92" s="109">
        <v>10</v>
      </c>
      <c r="G92" s="30"/>
    </row>
    <row r="93" spans="1:13" hidden="1" outlineLevel="1" x14ac:dyDescent="0.25">
      <c r="B93" s="109" t="s">
        <v>171</v>
      </c>
      <c r="C93" s="109">
        <v>0</v>
      </c>
      <c r="G93" s="30"/>
    </row>
    <row r="94" spans="1:13" hidden="1" outlineLevel="1" x14ac:dyDescent="0.25">
      <c r="B94" s="109" t="s">
        <v>13</v>
      </c>
      <c r="C94" s="109">
        <v>0</v>
      </c>
      <c r="G94" s="30"/>
    </row>
    <row r="95" spans="1:13" hidden="1" outlineLevel="1" x14ac:dyDescent="0.25">
      <c r="G95" s="30"/>
    </row>
    <row r="96" spans="1:13" collapsed="1" x14ac:dyDescent="0.25">
      <c r="A96" s="12" t="s">
        <v>30</v>
      </c>
      <c r="B96" s="7" t="s">
        <v>173</v>
      </c>
      <c r="C96" s="101"/>
      <c r="D96" s="111"/>
      <c r="E96" s="7">
        <f>IF($D$96="N/A",0,1)</f>
        <v>1</v>
      </c>
      <c r="F96" s="30">
        <v>0.28000000000000003</v>
      </c>
      <c r="G96" s="30">
        <f>IF(E96,F96*SUM($F$85,$F$96,$F$108,$F$119,$F$130,)/($E$85*$F$85+$E$96*$F$96+$E$108*$F$108+$E$119*$F$119+$E$130*$F$130),0)</f>
        <v>0.28000000000000003</v>
      </c>
      <c r="J96" s="7">
        <f>IF(ISBLANK($D$96),0,VLOOKUP($D$96,$B$102:$C$106,2,0))</f>
        <v>0</v>
      </c>
      <c r="K96" s="7">
        <f>J96*G96</f>
        <v>0</v>
      </c>
      <c r="L96" s="7">
        <f>IF(ISBLANK(D96),0,IF(D96="Unknown",100*G96,J96*G96))</f>
        <v>0</v>
      </c>
      <c r="M96" s="119" t="str">
        <f>IF(D96=B104,"X",IF(D96=B105,"??",IF(D96=""," ",IF(D96=B106,"N/A","V"))))</f>
        <v xml:space="preserve"> </v>
      </c>
    </row>
    <row r="97" spans="1:13" hidden="1" outlineLevel="1" x14ac:dyDescent="0.25">
      <c r="G97" s="30"/>
    </row>
    <row r="98" spans="1:13" hidden="1" outlineLevel="1" x14ac:dyDescent="0.25">
      <c r="A98" s="15"/>
      <c r="B98" s="108" t="s">
        <v>16</v>
      </c>
      <c r="C98" s="108"/>
      <c r="D98" s="11"/>
      <c r="E98" s="11"/>
      <c r="F98" s="11"/>
      <c r="G98" s="11"/>
      <c r="H98" s="11"/>
      <c r="I98" s="11"/>
      <c r="J98" s="11"/>
      <c r="K98" s="11"/>
      <c r="L98" s="11"/>
      <c r="M98" s="65"/>
    </row>
    <row r="99" spans="1:13" hidden="1" outlineLevel="1" x14ac:dyDescent="0.25">
      <c r="B99" s="109" t="s">
        <v>41</v>
      </c>
      <c r="C99" s="109"/>
      <c r="G99" s="30"/>
    </row>
    <row r="100" spans="1:13" hidden="1" outlineLevel="1" x14ac:dyDescent="0.25">
      <c r="B100" s="109"/>
      <c r="C100" s="109"/>
      <c r="G100" s="30"/>
    </row>
    <row r="101" spans="1:13" hidden="1" outlineLevel="1" x14ac:dyDescent="0.25">
      <c r="A101" s="15"/>
      <c r="B101" s="108" t="s">
        <v>15</v>
      </c>
      <c r="C101" s="108"/>
      <c r="D101" s="11"/>
      <c r="E101" s="11"/>
      <c r="F101" s="11"/>
      <c r="G101" s="11"/>
      <c r="H101" s="11"/>
      <c r="I101" s="11"/>
      <c r="J101" s="11"/>
      <c r="K101" s="11"/>
      <c r="L101" s="11"/>
      <c r="M101" s="65"/>
    </row>
    <row r="102" spans="1:13" hidden="1" outlineLevel="1" x14ac:dyDescent="0.25">
      <c r="B102" s="109" t="s">
        <v>285</v>
      </c>
      <c r="C102" s="109">
        <v>100</v>
      </c>
      <c r="G102" s="30"/>
    </row>
    <row r="103" spans="1:13" hidden="1" outlineLevel="1" x14ac:dyDescent="0.25">
      <c r="B103" s="109" t="s">
        <v>286</v>
      </c>
      <c r="C103" s="109">
        <v>75</v>
      </c>
      <c r="G103" s="30"/>
    </row>
    <row r="104" spans="1:13" hidden="1" outlineLevel="1" x14ac:dyDescent="0.25">
      <c r="B104" s="109" t="s">
        <v>20</v>
      </c>
      <c r="C104" s="109">
        <v>0</v>
      </c>
      <c r="G104" s="30"/>
    </row>
    <row r="105" spans="1:13" hidden="1" outlineLevel="1" x14ac:dyDescent="0.25">
      <c r="B105" s="109" t="s">
        <v>13</v>
      </c>
      <c r="C105" s="109">
        <v>0</v>
      </c>
      <c r="G105" s="30"/>
    </row>
    <row r="106" spans="1:13" hidden="1" outlineLevel="1" x14ac:dyDescent="0.25">
      <c r="B106" s="109" t="s">
        <v>35</v>
      </c>
      <c r="C106" s="109">
        <v>-1</v>
      </c>
      <c r="G106" s="30"/>
    </row>
    <row r="107" spans="1:13" hidden="1" outlineLevel="1" x14ac:dyDescent="0.25">
      <c r="G107" s="30"/>
    </row>
    <row r="108" spans="1:13" ht="30" collapsed="1" x14ac:dyDescent="0.25">
      <c r="A108" s="12" t="s">
        <v>32</v>
      </c>
      <c r="B108" s="7" t="s">
        <v>250</v>
      </c>
      <c r="C108" s="101"/>
      <c r="D108" s="111"/>
      <c r="E108" s="7">
        <f>IF($D108="N/A",0,1)</f>
        <v>1</v>
      </c>
      <c r="F108" s="30">
        <v>0.18</v>
      </c>
      <c r="G108" s="30">
        <f>IF(E108,F108*SUM($F$85,$F$96,$F$108,$F$119,$F$130,)/($E$85*$F$85+$E$96*$F$96+$E$108*$F$108+$E$119*$F$119+$E$130*$F$130),0)</f>
        <v>0.18</v>
      </c>
      <c r="J108" s="7">
        <f>IF(ISBLANK($D$108),0,VLOOKUP($D$108,$B$111:$C$117,2,0))</f>
        <v>0</v>
      </c>
      <c r="K108" s="7">
        <f>J108*G108</f>
        <v>0</v>
      </c>
      <c r="L108" s="7">
        <f>IF(ISBLANK(D108),0,IF(D108="Unknown",100*G108,J108*G108))</f>
        <v>0</v>
      </c>
      <c r="M108" s="119" t="str">
        <f>IF(D108=B115,"X",IF(D108=B116,"X",IF(D108=B117,"??", IF(D108=""," ","V"))))</f>
        <v xml:space="preserve"> </v>
      </c>
    </row>
    <row r="109" spans="1:13" hidden="1" outlineLevel="1" x14ac:dyDescent="0.25">
      <c r="G109" s="30"/>
    </row>
    <row r="110" spans="1:13" hidden="1" outlineLevel="1" x14ac:dyDescent="0.25">
      <c r="A110" s="15"/>
      <c r="B110" s="108" t="s">
        <v>15</v>
      </c>
      <c r="C110" s="108"/>
      <c r="D110" s="11"/>
      <c r="E110" s="11"/>
      <c r="F110" s="11"/>
      <c r="G110" s="11"/>
      <c r="H110" s="11"/>
      <c r="I110" s="11"/>
      <c r="J110" s="11"/>
      <c r="K110" s="11"/>
      <c r="L110" s="11"/>
      <c r="M110" s="65"/>
    </row>
    <row r="111" spans="1:13" hidden="1" outlineLevel="1" x14ac:dyDescent="0.25">
      <c r="B111" s="109" t="s">
        <v>338</v>
      </c>
      <c r="C111" s="109">
        <v>100</v>
      </c>
      <c r="G111" s="30"/>
    </row>
    <row r="112" spans="1:13" hidden="1" outlineLevel="1" x14ac:dyDescent="0.25">
      <c r="B112" s="109" t="s">
        <v>241</v>
      </c>
      <c r="C112" s="109">
        <v>80</v>
      </c>
      <c r="G112" s="30"/>
    </row>
    <row r="113" spans="1:13" hidden="1" outlineLevel="1" x14ac:dyDescent="0.25">
      <c r="B113" s="109" t="s">
        <v>33</v>
      </c>
      <c r="C113" s="109">
        <v>65</v>
      </c>
      <c r="G113" s="30"/>
    </row>
    <row r="114" spans="1:13" hidden="1" outlineLevel="1" x14ac:dyDescent="0.25">
      <c r="B114" s="109" t="s">
        <v>34</v>
      </c>
      <c r="C114" s="109">
        <v>35</v>
      </c>
      <c r="G114" s="30"/>
    </row>
    <row r="115" spans="1:13" hidden="1" outlineLevel="1" x14ac:dyDescent="0.25">
      <c r="B115" s="109" t="s">
        <v>174</v>
      </c>
      <c r="C115" s="109">
        <v>10</v>
      </c>
      <c r="G115" s="30"/>
    </row>
    <row r="116" spans="1:13" hidden="1" outlineLevel="1" x14ac:dyDescent="0.25">
      <c r="B116" s="109" t="s">
        <v>171</v>
      </c>
      <c r="C116" s="109">
        <v>0</v>
      </c>
      <c r="G116" s="30"/>
    </row>
    <row r="117" spans="1:13" hidden="1" outlineLevel="1" x14ac:dyDescent="0.25">
      <c r="B117" s="109" t="s">
        <v>13</v>
      </c>
      <c r="C117" s="109">
        <v>0</v>
      </c>
      <c r="G117" s="30"/>
    </row>
    <row r="118" spans="1:13" hidden="1" outlineLevel="1" x14ac:dyDescent="0.25">
      <c r="G118" s="30"/>
    </row>
    <row r="119" spans="1:13" ht="30" collapsed="1" x14ac:dyDescent="0.25">
      <c r="A119" s="12" t="s">
        <v>36</v>
      </c>
      <c r="B119" s="7" t="s">
        <v>251</v>
      </c>
      <c r="C119" s="101"/>
      <c r="D119" s="111"/>
      <c r="E119" s="7">
        <f>IF($D119="N/A",0,1)</f>
        <v>1</v>
      </c>
      <c r="F119" s="30">
        <v>0.18</v>
      </c>
      <c r="G119" s="30">
        <f>IF(E119,F119*SUM($F$85,$F$96,$F$108,$F$119,$F$130,)/($E$85*$F$85+$E$96*$F$96+$E$108*$F$108+$E$119*$F$119+$E$130*$F$130),0)</f>
        <v>0.18</v>
      </c>
      <c r="J119" s="7">
        <f>IF(ISBLANK($D$119),0,VLOOKUP($D$119,$B$125:$C$128,2,0))</f>
        <v>0</v>
      </c>
      <c r="K119" s="7">
        <f>J119*G119</f>
        <v>0</v>
      </c>
      <c r="L119" s="7">
        <f>IF(ISBLANK(D119),0,IF(D119="Unknown",100*G119,J119*G119))</f>
        <v>0</v>
      </c>
      <c r="M119" s="119" t="str">
        <f>IF(D119=B127,"X",IF(D119=B128,"??", IF(D119=""," ","V")))</f>
        <v xml:space="preserve"> </v>
      </c>
    </row>
    <row r="120" spans="1:13" hidden="1" outlineLevel="1" x14ac:dyDescent="0.25">
      <c r="G120" s="30"/>
    </row>
    <row r="121" spans="1:13" hidden="1" outlineLevel="1" x14ac:dyDescent="0.25">
      <c r="A121" s="15"/>
      <c r="B121" s="108" t="s">
        <v>16</v>
      </c>
      <c r="C121" s="108"/>
      <c r="D121" s="11"/>
      <c r="E121" s="11"/>
      <c r="F121" s="11"/>
      <c r="G121" s="11"/>
      <c r="H121" s="11"/>
      <c r="I121" s="11"/>
      <c r="J121" s="11"/>
      <c r="K121" s="11"/>
      <c r="L121" s="11"/>
      <c r="M121" s="65"/>
    </row>
    <row r="122" spans="1:13" ht="30" hidden="1" outlineLevel="1" x14ac:dyDescent="0.25">
      <c r="B122" s="109" t="s">
        <v>204</v>
      </c>
      <c r="C122" s="109"/>
      <c r="G122" s="30"/>
    </row>
    <row r="123" spans="1:13" hidden="1" outlineLevel="1" x14ac:dyDescent="0.25">
      <c r="B123" s="109"/>
      <c r="C123" s="109"/>
      <c r="G123" s="30"/>
    </row>
    <row r="124" spans="1:13" hidden="1" outlineLevel="1" x14ac:dyDescent="0.25">
      <c r="A124" s="15"/>
      <c r="B124" s="108" t="s">
        <v>15</v>
      </c>
      <c r="C124" s="108"/>
      <c r="D124" s="11"/>
      <c r="E124" s="11"/>
      <c r="F124" s="11"/>
      <c r="G124" s="11"/>
      <c r="H124" s="11"/>
      <c r="I124" s="11"/>
      <c r="J124" s="11"/>
      <c r="K124" s="11"/>
      <c r="L124" s="11"/>
      <c r="M124" s="65"/>
    </row>
    <row r="125" spans="1:13" hidden="1" outlineLevel="1" x14ac:dyDescent="0.25">
      <c r="B125" s="109" t="s">
        <v>205</v>
      </c>
      <c r="C125" s="109">
        <v>60</v>
      </c>
      <c r="G125" s="30"/>
    </row>
    <row r="126" spans="1:13" hidden="1" outlineLevel="1" x14ac:dyDescent="0.25">
      <c r="B126" s="109" t="s">
        <v>388</v>
      </c>
      <c r="C126" s="109">
        <v>100</v>
      </c>
      <c r="G126" s="30"/>
    </row>
    <row r="127" spans="1:13" hidden="1" outlineLevel="1" x14ac:dyDescent="0.25">
      <c r="B127" s="109" t="s">
        <v>389</v>
      </c>
      <c r="C127" s="109">
        <v>0</v>
      </c>
      <c r="G127" s="30"/>
    </row>
    <row r="128" spans="1:13" hidden="1" outlineLevel="1" x14ac:dyDescent="0.25">
      <c r="B128" s="109" t="s">
        <v>13</v>
      </c>
      <c r="C128" s="109">
        <v>0</v>
      </c>
      <c r="G128" s="30"/>
    </row>
    <row r="129" spans="1:13" hidden="1" outlineLevel="1" x14ac:dyDescent="0.25">
      <c r="G129" s="30"/>
    </row>
    <row r="130" spans="1:13" ht="30" collapsed="1" x14ac:dyDescent="0.25">
      <c r="A130" s="12" t="s">
        <v>40</v>
      </c>
      <c r="B130" s="7" t="s">
        <v>42</v>
      </c>
      <c r="C130" s="101"/>
      <c r="D130" s="111"/>
      <c r="E130" s="7">
        <f>IF($D$130="N/A",0,1)</f>
        <v>1</v>
      </c>
      <c r="F130" s="30">
        <v>0.18</v>
      </c>
      <c r="G130" s="30">
        <f>IF(E130,F130*SUM($F$85,$F$96,$F$108,$F$119,$F$130,)/($E$85*$F$85+$E$96*$F$96+$E$108*$F$108+$E$119*$F$119+$E$130*$F$130),0)</f>
        <v>0.18</v>
      </c>
      <c r="J130" s="7">
        <f>IF(ISBLANK($D$130),0,VLOOKUP($D$130,$B$136:$C$141,2,0))</f>
        <v>0</v>
      </c>
      <c r="K130" s="7">
        <f>J130*G130</f>
        <v>0</v>
      </c>
      <c r="L130" s="7">
        <f>IF(ISBLANK(D130),0,IF(D130="Unknown",100*G130,J130*G130))</f>
        <v>0</v>
      </c>
      <c r="M130" s="119" t="str">
        <f>IF(D130=B140,"X",IF(D130=B141,"??", IF(D130=""," ","V")))</f>
        <v xml:space="preserve"> </v>
      </c>
    </row>
    <row r="131" spans="1:13" hidden="1" outlineLevel="1" x14ac:dyDescent="0.25"/>
    <row r="132" spans="1:13" hidden="1" outlineLevel="1" x14ac:dyDescent="0.25">
      <c r="A132" s="15"/>
      <c r="B132" s="108" t="s">
        <v>16</v>
      </c>
      <c r="C132" s="108"/>
      <c r="D132" s="11"/>
      <c r="E132" s="11"/>
      <c r="F132" s="11"/>
      <c r="G132" s="11"/>
      <c r="H132" s="11"/>
      <c r="I132" s="11"/>
      <c r="J132" s="11"/>
      <c r="K132" s="11"/>
      <c r="L132" s="11"/>
      <c r="M132" s="65"/>
    </row>
    <row r="133" spans="1:13" ht="30" hidden="1" outlineLevel="1" x14ac:dyDescent="0.25">
      <c r="B133" s="109" t="s">
        <v>229</v>
      </c>
      <c r="C133" s="109"/>
    </row>
    <row r="134" spans="1:13" hidden="1" outlineLevel="1" x14ac:dyDescent="0.25">
      <c r="B134" s="109"/>
      <c r="C134" s="109"/>
    </row>
    <row r="135" spans="1:13" hidden="1" outlineLevel="1" x14ac:dyDescent="0.25">
      <c r="A135" s="15"/>
      <c r="B135" s="108" t="s">
        <v>15</v>
      </c>
      <c r="C135" s="108"/>
      <c r="D135" s="11"/>
      <c r="E135" s="11"/>
      <c r="F135" s="11"/>
      <c r="G135" s="11"/>
      <c r="H135" s="11"/>
      <c r="I135" s="11"/>
      <c r="J135" s="11"/>
      <c r="K135" s="11"/>
      <c r="L135" s="11"/>
      <c r="M135" s="65"/>
    </row>
    <row r="136" spans="1:13" hidden="1" outlineLevel="1" x14ac:dyDescent="0.25">
      <c r="B136" s="110" t="s">
        <v>175</v>
      </c>
      <c r="C136" s="109">
        <v>35</v>
      </c>
    </row>
    <row r="137" spans="1:13" hidden="1" outlineLevel="1" x14ac:dyDescent="0.25">
      <c r="B137" s="110" t="s">
        <v>176</v>
      </c>
      <c r="C137" s="109">
        <v>60</v>
      </c>
    </row>
    <row r="138" spans="1:13" hidden="1" outlineLevel="1" x14ac:dyDescent="0.25">
      <c r="B138" s="110" t="s">
        <v>177</v>
      </c>
      <c r="C138" s="109">
        <v>80</v>
      </c>
    </row>
    <row r="139" spans="1:13" hidden="1" outlineLevel="1" x14ac:dyDescent="0.25">
      <c r="B139" s="110" t="s">
        <v>178</v>
      </c>
      <c r="C139" s="109">
        <v>100</v>
      </c>
    </row>
    <row r="140" spans="1:13" hidden="1" outlineLevel="1" x14ac:dyDescent="0.25">
      <c r="B140" s="109" t="s">
        <v>179</v>
      </c>
      <c r="C140" s="109">
        <v>0</v>
      </c>
    </row>
    <row r="141" spans="1:13" hidden="1" outlineLevel="1" x14ac:dyDescent="0.25">
      <c r="B141" s="109" t="s">
        <v>13</v>
      </c>
      <c r="C141" s="109">
        <v>0</v>
      </c>
    </row>
    <row r="142" spans="1:13" hidden="1" outlineLevel="1" x14ac:dyDescent="0.25"/>
    <row r="143" spans="1:13" x14ac:dyDescent="0.25">
      <c r="A143" s="16" t="s">
        <v>45</v>
      </c>
      <c r="B143" s="17" t="s">
        <v>206</v>
      </c>
      <c r="C143" s="17"/>
      <c r="D143" s="17"/>
      <c r="E143" s="17">
        <f>IF(AND($D$144="N/A",$D$152="N/A",$D$164="N/A"),0,1)</f>
        <v>1</v>
      </c>
      <c r="F143" s="32">
        <f>(F144+F152+F164)</f>
        <v>1</v>
      </c>
      <c r="G143" s="32">
        <f>(G144+G152+G164)</f>
        <v>1</v>
      </c>
      <c r="H143" s="32">
        <v>0.18</v>
      </c>
      <c r="I143" s="31">
        <f>IF(E143,H143*SUM($H$6,$H$56,$H$84,$H$143,$H$177,$H$202,)/($E$6*$H$6+$E$56*$H$56+$E$84*$H$84+$E$143*$H$143+$E$177*$H$177+$E$202*$H$202),0)</f>
        <v>0.18</v>
      </c>
      <c r="J143" s="32"/>
      <c r="K143" s="32">
        <f>(K144+K152+K164)*I143/100</f>
        <v>0</v>
      </c>
      <c r="L143" s="32">
        <f>(L144+L152+L164)*I143/100</f>
        <v>0</v>
      </c>
      <c r="M143" s="64"/>
    </row>
    <row r="144" spans="1:13" collapsed="1" x14ac:dyDescent="0.25">
      <c r="A144" s="12" t="s">
        <v>46</v>
      </c>
      <c r="B144" s="7" t="s">
        <v>52</v>
      </c>
      <c r="C144" s="101"/>
      <c r="D144" s="111"/>
      <c r="E144" s="7">
        <f>IF($D144="N/A",0,1)</f>
        <v>1</v>
      </c>
      <c r="F144" s="30">
        <v>0.4</v>
      </c>
      <c r="G144" s="30">
        <f>IF(E144,F144*SUM($F$144,$F$152,$F$164,)/($E$144*$F$144+$E$152*$F$152+$E$164*$F$164),0)</f>
        <v>0.4</v>
      </c>
      <c r="J144" s="7">
        <f>IF(ISBLANK($D$144),0,VLOOKUP($D$144,$B$147:$C$150,2,0))</f>
        <v>0</v>
      </c>
      <c r="K144" s="7">
        <f>J144*G144</f>
        <v>0</v>
      </c>
      <c r="L144" s="7">
        <f>IF(ISBLANK(D144),0,IF(D144="Unknown",100*G144,J144*G144))</f>
        <v>0</v>
      </c>
      <c r="M144" s="63" t="str">
        <f>IF(D144=B147,"V",IF(D144=B148,"X",IF(D144=B149,"??",IF(D144=B150,"N/A"," "))))</f>
        <v xml:space="preserve"> </v>
      </c>
    </row>
    <row r="145" spans="1:13" hidden="1" outlineLevel="1" x14ac:dyDescent="0.25">
      <c r="G145" s="30"/>
    </row>
    <row r="146" spans="1:13" hidden="1" outlineLevel="1" x14ac:dyDescent="0.25">
      <c r="A146" s="15"/>
      <c r="B146" s="108" t="s">
        <v>15</v>
      </c>
      <c r="C146" s="108"/>
      <c r="D146" s="11"/>
      <c r="E146" s="11"/>
      <c r="F146" s="11"/>
      <c r="G146" s="11"/>
      <c r="H146" s="11"/>
      <c r="I146" s="11"/>
      <c r="J146" s="11"/>
      <c r="K146" s="11"/>
      <c r="L146" s="11"/>
      <c r="M146" s="65"/>
    </row>
    <row r="147" spans="1:13" hidden="1" outlineLevel="1" x14ac:dyDescent="0.25">
      <c r="B147" s="109" t="s">
        <v>19</v>
      </c>
      <c r="C147" s="109">
        <v>100</v>
      </c>
      <c r="G147" s="30"/>
    </row>
    <row r="148" spans="1:13" hidden="1" outlineLevel="1" x14ac:dyDescent="0.25">
      <c r="B148" s="109" t="s">
        <v>20</v>
      </c>
      <c r="C148" s="109">
        <v>0</v>
      </c>
      <c r="G148" s="30"/>
    </row>
    <row r="149" spans="1:13" hidden="1" outlineLevel="1" x14ac:dyDescent="0.25">
      <c r="B149" s="109" t="s">
        <v>13</v>
      </c>
      <c r="C149" s="109">
        <v>0</v>
      </c>
      <c r="G149" s="30"/>
    </row>
    <row r="150" spans="1:13" hidden="1" outlineLevel="1" x14ac:dyDescent="0.25">
      <c r="B150" s="109" t="s">
        <v>35</v>
      </c>
      <c r="C150" s="109">
        <v>-1</v>
      </c>
      <c r="G150" s="30"/>
    </row>
    <row r="151" spans="1:13" hidden="1" outlineLevel="1" x14ac:dyDescent="0.25">
      <c r="G151" s="30"/>
    </row>
    <row r="152" spans="1:13" collapsed="1" x14ac:dyDescent="0.25">
      <c r="A152" s="12" t="s">
        <v>209</v>
      </c>
      <c r="B152" s="7" t="s">
        <v>207</v>
      </c>
      <c r="C152" s="101"/>
      <c r="D152" s="111"/>
      <c r="E152" s="7">
        <f>IF($D152="N/A",0,1)</f>
        <v>1</v>
      </c>
      <c r="F152" s="30">
        <v>0.2</v>
      </c>
      <c r="G152" s="30">
        <f>IF(E152,F152*SUM($F$144,$F$152,$F$164,)/($E$144*$F$144+$E$152*$F$152+$E$164*$F$164),0)</f>
        <v>0.2</v>
      </c>
      <c r="J152" s="7">
        <f>IF(ISBLANK($D$152),0,VLOOKUP($D$152,$B$159:$C$162,2,0))</f>
        <v>0</v>
      </c>
      <c r="K152" s="7">
        <f>J152*G152</f>
        <v>0</v>
      </c>
      <c r="L152" s="7">
        <f>IF(ISBLANK(D152),0,IF(D152="Unknown",100*G152,J152*G152))</f>
        <v>0</v>
      </c>
      <c r="M152" s="63" t="str">
        <f>IF(D152=B159,"V",IF(D152=B160,"X",IF(D152=B161,"??",IF(D152=B162,"N/A"," "))))</f>
        <v xml:space="preserve"> </v>
      </c>
    </row>
    <row r="153" spans="1:13" hidden="1" outlineLevel="1" x14ac:dyDescent="0.25">
      <c r="G153" s="30"/>
    </row>
    <row r="154" spans="1:13" hidden="1" outlineLevel="1" x14ac:dyDescent="0.25">
      <c r="A154" s="15"/>
      <c r="B154" s="108" t="s">
        <v>16</v>
      </c>
      <c r="C154" s="108"/>
      <c r="D154" s="11"/>
      <c r="E154" s="11"/>
      <c r="F154" s="11"/>
      <c r="G154" s="11"/>
      <c r="H154" s="11"/>
      <c r="I154" s="11"/>
      <c r="J154" s="11"/>
      <c r="K154" s="11"/>
      <c r="L154" s="11"/>
      <c r="M154" s="65"/>
    </row>
    <row r="155" spans="1:13" hidden="1" outlineLevel="1" x14ac:dyDescent="0.25">
      <c r="B155" s="109" t="s">
        <v>51</v>
      </c>
      <c r="C155" s="109"/>
      <c r="G155" s="30"/>
    </row>
    <row r="156" spans="1:13" hidden="1" outlineLevel="1" x14ac:dyDescent="0.25">
      <c r="B156" s="109" t="s">
        <v>50</v>
      </c>
      <c r="C156" s="109"/>
      <c r="G156" s="30"/>
    </row>
    <row r="157" spans="1:13" hidden="1" outlineLevel="1" x14ac:dyDescent="0.25">
      <c r="B157" s="109"/>
      <c r="C157" s="109"/>
      <c r="G157" s="30"/>
    </row>
    <row r="158" spans="1:13" hidden="1" outlineLevel="1" x14ac:dyDescent="0.25">
      <c r="A158" s="15"/>
      <c r="B158" s="108" t="s">
        <v>15</v>
      </c>
      <c r="C158" s="108"/>
      <c r="D158" s="11"/>
      <c r="E158" s="11"/>
      <c r="F158" s="11"/>
      <c r="G158" s="11"/>
      <c r="H158" s="11"/>
      <c r="I158" s="11"/>
      <c r="J158" s="11"/>
      <c r="K158" s="11"/>
      <c r="L158" s="11"/>
      <c r="M158" s="65"/>
    </row>
    <row r="159" spans="1:13" hidden="1" outlineLevel="1" x14ac:dyDescent="0.25">
      <c r="B159" s="109" t="s">
        <v>19</v>
      </c>
      <c r="C159" s="109">
        <v>100</v>
      </c>
      <c r="G159" s="30"/>
    </row>
    <row r="160" spans="1:13" hidden="1" outlineLevel="1" x14ac:dyDescent="0.25">
      <c r="B160" s="109" t="s">
        <v>20</v>
      </c>
      <c r="C160" s="109">
        <v>0</v>
      </c>
      <c r="G160" s="30"/>
    </row>
    <row r="161" spans="1:13" hidden="1" outlineLevel="1" x14ac:dyDescent="0.25">
      <c r="B161" s="109" t="s">
        <v>13</v>
      </c>
      <c r="C161" s="109">
        <v>0</v>
      </c>
      <c r="G161" s="30"/>
    </row>
    <row r="162" spans="1:13" hidden="1" outlineLevel="1" x14ac:dyDescent="0.25">
      <c r="B162" s="109" t="s">
        <v>35</v>
      </c>
      <c r="C162" s="109">
        <v>-1</v>
      </c>
      <c r="G162" s="30"/>
    </row>
    <row r="163" spans="1:13" hidden="1" outlineLevel="1" x14ac:dyDescent="0.25">
      <c r="G163" s="30"/>
    </row>
    <row r="164" spans="1:13" ht="30" collapsed="1" x14ac:dyDescent="0.25">
      <c r="A164" s="12" t="s">
        <v>210</v>
      </c>
      <c r="B164" s="7" t="s">
        <v>252</v>
      </c>
      <c r="C164" s="101"/>
      <c r="D164" s="111"/>
      <c r="E164" s="7">
        <f>IF($D164="N/A",0,1)</f>
        <v>1</v>
      </c>
      <c r="F164" s="30">
        <v>0.4</v>
      </c>
      <c r="G164" s="30">
        <f>IF(E164,F164*SUM($F$144,$F$152,$F$164,)/($E$144*$F$144+$E$152*$F$152+$E$164*$F$164),0)</f>
        <v>0.4</v>
      </c>
      <c r="J164" s="7">
        <f>IF(ISBLANK($D$164),0,VLOOKUP($D$164,$B$170:$C$175,2,0))</f>
        <v>0</v>
      </c>
      <c r="K164" s="7">
        <f>J164*G164</f>
        <v>0</v>
      </c>
      <c r="L164" s="7">
        <f>IF(ISBLANK(D164),0,IF(D164="Unknown",100*G164,J164*G164))</f>
        <v>0</v>
      </c>
      <c r="M164" s="63" t="str">
        <f>IF(D164=B170,"X",IF(D164=B174,"??",IF(D164=B175,"N/A",IF(D164=""," ","V"))))</f>
        <v xml:space="preserve"> </v>
      </c>
    </row>
    <row r="165" spans="1:13" hidden="1" outlineLevel="1" x14ac:dyDescent="0.25"/>
    <row r="166" spans="1:13" hidden="1" outlineLevel="1" x14ac:dyDescent="0.25">
      <c r="A166" s="15"/>
      <c r="B166" s="108" t="s">
        <v>16</v>
      </c>
      <c r="C166" s="108"/>
      <c r="D166" s="11"/>
      <c r="E166" s="11"/>
      <c r="F166" s="11"/>
      <c r="G166" s="11"/>
      <c r="H166" s="11"/>
      <c r="I166" s="11"/>
      <c r="J166" s="11"/>
      <c r="K166" s="11"/>
      <c r="L166" s="11"/>
      <c r="M166" s="65"/>
    </row>
    <row r="167" spans="1:13" ht="45" hidden="1" outlineLevel="1" x14ac:dyDescent="0.25">
      <c r="B167" s="109" t="s">
        <v>208</v>
      </c>
      <c r="C167" s="109"/>
    </row>
    <row r="168" spans="1:13" hidden="1" outlineLevel="1" x14ac:dyDescent="0.25">
      <c r="B168" s="109"/>
      <c r="C168" s="109"/>
    </row>
    <row r="169" spans="1:13" hidden="1" outlineLevel="1" x14ac:dyDescent="0.25">
      <c r="A169" s="15"/>
      <c r="B169" s="108" t="s">
        <v>15</v>
      </c>
      <c r="C169" s="108"/>
      <c r="D169" s="11"/>
      <c r="E169" s="11"/>
      <c r="F169" s="11"/>
      <c r="G169" s="11"/>
      <c r="H169" s="11"/>
      <c r="I169" s="11"/>
      <c r="J169" s="11"/>
      <c r="K169" s="11"/>
      <c r="L169" s="11"/>
      <c r="M169" s="65"/>
    </row>
    <row r="170" spans="1:13" hidden="1" outlineLevel="1" x14ac:dyDescent="0.25">
      <c r="B170" s="109" t="s">
        <v>20</v>
      </c>
      <c r="C170" s="109">
        <v>0</v>
      </c>
    </row>
    <row r="171" spans="1:13" hidden="1" outlineLevel="1" x14ac:dyDescent="0.25">
      <c r="B171" s="109" t="s">
        <v>340</v>
      </c>
      <c r="C171" s="109">
        <v>50</v>
      </c>
    </row>
    <row r="172" spans="1:13" hidden="1" outlineLevel="1" x14ac:dyDescent="0.25">
      <c r="B172" s="109" t="s">
        <v>341</v>
      </c>
      <c r="C172" s="109">
        <v>80</v>
      </c>
    </row>
    <row r="173" spans="1:13" ht="30" hidden="1" outlineLevel="1" x14ac:dyDescent="0.25">
      <c r="B173" s="109" t="s">
        <v>381</v>
      </c>
      <c r="C173" s="109">
        <v>100</v>
      </c>
    </row>
    <row r="174" spans="1:13" hidden="1" outlineLevel="1" x14ac:dyDescent="0.25">
      <c r="B174" s="109" t="s">
        <v>13</v>
      </c>
      <c r="C174" s="109">
        <v>0</v>
      </c>
    </row>
    <row r="175" spans="1:13" hidden="1" outlineLevel="1" x14ac:dyDescent="0.25">
      <c r="B175" s="109" t="s">
        <v>35</v>
      </c>
      <c r="C175" s="109">
        <v>-1</v>
      </c>
    </row>
    <row r="176" spans="1:13" hidden="1" outlineLevel="1" x14ac:dyDescent="0.25"/>
    <row r="177" spans="1:13" x14ac:dyDescent="0.25">
      <c r="A177" s="14" t="s">
        <v>47</v>
      </c>
      <c r="B177" s="10" t="s">
        <v>322</v>
      </c>
      <c r="C177" s="10"/>
      <c r="D177" s="10"/>
      <c r="E177" s="17">
        <f>IF(AND($D$178="N/A",$D$187="N/A",$D$195="N/A"),0,1)</f>
        <v>1</v>
      </c>
      <c r="F177" s="31">
        <f>(F178+F187+F195)</f>
        <v>1</v>
      </c>
      <c r="G177" s="31">
        <f>(G178+G187+G195)</f>
        <v>1</v>
      </c>
      <c r="H177" s="31">
        <v>0.18</v>
      </c>
      <c r="I177" s="31">
        <f>IF(E177,H177*SUM($H$6,$H$56,$H$84,$H$143,$H$177,$H$202,)/($E$6*$H$6+$E$56*$H$56+$E$84*$H$84+$E$143*$H$143+$E$177*$H$177+$E$202*$H$202),0)</f>
        <v>0.18</v>
      </c>
      <c r="J177" s="31"/>
      <c r="K177" s="31">
        <f>(K178+K187+K195)*I177/100</f>
        <v>0</v>
      </c>
      <c r="L177" s="31">
        <f>(L178+L187+L195)*I177/100</f>
        <v>0</v>
      </c>
      <c r="M177" s="64"/>
    </row>
    <row r="178" spans="1:13" ht="30" collapsed="1" x14ac:dyDescent="0.25">
      <c r="A178" s="12" t="s">
        <v>49</v>
      </c>
      <c r="B178" s="101" t="s">
        <v>284</v>
      </c>
      <c r="C178" s="101"/>
      <c r="D178" s="111"/>
      <c r="E178" s="7">
        <f>IF($D178="N/A",0,1)</f>
        <v>1</v>
      </c>
      <c r="F178" s="30">
        <v>0.3</v>
      </c>
      <c r="G178" s="30">
        <f>IF(E178,F178*SUM($F$178,$F$187,$F$195,)/($E$178*$F$178+$E$187*$F$187+$E$195*$F$195),0)</f>
        <v>0.3</v>
      </c>
      <c r="J178" s="7">
        <f>IF(ISBLANK($D$178),0,VLOOKUP($D$178,$B$181:$C$185,2,0))</f>
        <v>0</v>
      </c>
      <c r="K178" s="7">
        <f>J178*G178</f>
        <v>0</v>
      </c>
      <c r="L178" s="7">
        <f>IF(ISBLANK(D178),0,IF(D178="Unknown",100*G178,J178*G178))</f>
        <v>0</v>
      </c>
      <c r="M178" s="63" t="str">
        <f>IF(D178=""," ",IF(D178=B185,"??","V"))</f>
        <v xml:space="preserve"> </v>
      </c>
    </row>
    <row r="179" spans="1:13" hidden="1" outlineLevel="1" x14ac:dyDescent="0.25"/>
    <row r="180" spans="1:13" hidden="1" outlineLevel="1" x14ac:dyDescent="0.25">
      <c r="A180" s="15"/>
      <c r="B180" s="108" t="s">
        <v>15</v>
      </c>
      <c r="C180" s="108"/>
      <c r="D180" s="11"/>
      <c r="E180" s="11"/>
      <c r="F180" s="11"/>
      <c r="G180" s="11"/>
      <c r="H180" s="11"/>
      <c r="I180" s="11"/>
      <c r="J180" s="11"/>
      <c r="K180" s="11"/>
      <c r="L180" s="11"/>
      <c r="M180" s="65"/>
    </row>
    <row r="181" spans="1:13" hidden="1" outlineLevel="1" x14ac:dyDescent="0.25">
      <c r="B181" s="115" t="s">
        <v>276</v>
      </c>
      <c r="C181" s="109">
        <v>0</v>
      </c>
    </row>
    <row r="182" spans="1:13" hidden="1" outlineLevel="1" x14ac:dyDescent="0.25">
      <c r="B182" s="115" t="s">
        <v>278</v>
      </c>
      <c r="C182" s="109">
        <v>25</v>
      </c>
    </row>
    <row r="183" spans="1:13" hidden="1" outlineLevel="1" x14ac:dyDescent="0.25">
      <c r="B183" s="115" t="s">
        <v>279</v>
      </c>
      <c r="C183" s="109">
        <v>75</v>
      </c>
    </row>
    <row r="184" spans="1:13" hidden="1" outlineLevel="1" x14ac:dyDescent="0.25">
      <c r="B184" s="115" t="s">
        <v>277</v>
      </c>
      <c r="C184" s="109">
        <v>100</v>
      </c>
    </row>
    <row r="185" spans="1:13" hidden="1" outlineLevel="1" x14ac:dyDescent="0.25">
      <c r="B185" s="109" t="s">
        <v>13</v>
      </c>
      <c r="C185" s="109">
        <v>-1</v>
      </c>
    </row>
    <row r="186" spans="1:13" hidden="1" outlineLevel="1" x14ac:dyDescent="0.25"/>
    <row r="187" spans="1:13" collapsed="1" x14ac:dyDescent="0.25">
      <c r="A187" s="12" t="s">
        <v>326</v>
      </c>
      <c r="B187" s="101" t="s">
        <v>283</v>
      </c>
      <c r="C187" s="101"/>
      <c r="D187" s="111"/>
      <c r="E187" s="7">
        <f>IF($D187="N/A",0,1)</f>
        <v>1</v>
      </c>
      <c r="F187" s="30">
        <v>0.3</v>
      </c>
      <c r="G187" s="30">
        <f>IF(E187,F187*SUM($F$178,$F$187,$F$195,)/($E$178*$F$178+$E$187*$F$187+$E$195*$F$195),0)</f>
        <v>0.3</v>
      </c>
      <c r="J187" s="7">
        <f>IF(ISBLANK($D$187),0,VLOOKUP($D$187,$B$190:$C$193,2,0))</f>
        <v>0</v>
      </c>
      <c r="K187" s="7">
        <f>J187*G187</f>
        <v>0</v>
      </c>
      <c r="L187" s="7">
        <f>IF(ISBLANK(D187),0,IF(D187="Unknown",100*G187,J187*G187))</f>
        <v>0</v>
      </c>
      <c r="M187" s="63" t="str">
        <f>IF(D187=B191,"V",IF(D187=B192,"X",IF(D187=B193,"??",IF(D187=B190,"V"," "))))</f>
        <v xml:space="preserve"> </v>
      </c>
    </row>
    <row r="188" spans="1:13" hidden="1" outlineLevel="1" x14ac:dyDescent="0.25"/>
    <row r="189" spans="1:13" hidden="1" outlineLevel="1" x14ac:dyDescent="0.25">
      <c r="A189" s="15"/>
      <c r="B189" s="108" t="s">
        <v>15</v>
      </c>
      <c r="C189" s="108"/>
      <c r="D189" s="11"/>
      <c r="E189" s="11"/>
      <c r="F189" s="11"/>
      <c r="G189" s="11"/>
      <c r="H189" s="11"/>
      <c r="I189" s="11"/>
      <c r="J189" s="11"/>
      <c r="K189" s="11"/>
      <c r="L189" s="11"/>
      <c r="M189" s="65"/>
    </row>
    <row r="190" spans="1:13" hidden="1" outlineLevel="1" x14ac:dyDescent="0.25">
      <c r="B190" s="115" t="s">
        <v>281</v>
      </c>
      <c r="C190" s="109">
        <v>50</v>
      </c>
    </row>
    <row r="191" spans="1:13" hidden="1" outlineLevel="1" x14ac:dyDescent="0.25">
      <c r="B191" s="115" t="s">
        <v>280</v>
      </c>
      <c r="C191" s="109">
        <v>100</v>
      </c>
    </row>
    <row r="192" spans="1:13" hidden="1" outlineLevel="1" x14ac:dyDescent="0.25">
      <c r="B192" s="115" t="s">
        <v>171</v>
      </c>
      <c r="C192" s="109">
        <v>0</v>
      </c>
    </row>
    <row r="193" spans="1:13" hidden="1" outlineLevel="1" x14ac:dyDescent="0.25">
      <c r="B193" s="109" t="s">
        <v>13</v>
      </c>
      <c r="C193" s="109">
        <v>0</v>
      </c>
    </row>
    <row r="194" spans="1:13" hidden="1" outlineLevel="1" x14ac:dyDescent="0.25"/>
    <row r="195" spans="1:13" ht="30" collapsed="1" x14ac:dyDescent="0.25">
      <c r="A195" s="12" t="s">
        <v>327</v>
      </c>
      <c r="B195" s="101" t="s">
        <v>282</v>
      </c>
      <c r="C195" s="101"/>
      <c r="D195" s="111"/>
      <c r="E195" s="7">
        <f>IF($D195="N/A",0,1)</f>
        <v>1</v>
      </c>
      <c r="F195" s="30">
        <v>0.4</v>
      </c>
      <c r="G195" s="30">
        <f>IF(E195,F195*SUM($F$178,$F$187,$F$195,)/($E$178*$F$178+$E$187*$F$187+$E$195*$F$195),0)</f>
        <v>0.4</v>
      </c>
      <c r="J195" s="7">
        <f>IF(ISBLANK($D$195),0,VLOOKUP($D$195,$B$198:$C$200,2,0))</f>
        <v>0</v>
      </c>
      <c r="K195" s="7">
        <f>J195*G195</f>
        <v>0</v>
      </c>
      <c r="L195" s="7">
        <f>IF(ISBLANK(D195),0,IF(D195="Unknown",100*G195,J195*G195))</f>
        <v>0</v>
      </c>
      <c r="M195" s="63" t="str">
        <f>IF(D195=B199,"V",IF(D195=B198,"X",IF(D195=B200,"??"," ")))</f>
        <v xml:space="preserve"> </v>
      </c>
    </row>
    <row r="196" spans="1:13" hidden="1" outlineLevel="1" x14ac:dyDescent="0.25">
      <c r="B196" s="109"/>
      <c r="C196" s="109"/>
    </row>
    <row r="197" spans="1:13" hidden="1" outlineLevel="1" x14ac:dyDescent="0.25">
      <c r="A197" s="15"/>
      <c r="B197" s="108" t="s">
        <v>15</v>
      </c>
      <c r="C197" s="108"/>
      <c r="D197" s="11"/>
      <c r="E197" s="11"/>
      <c r="F197" s="11"/>
      <c r="G197" s="11"/>
      <c r="H197" s="11"/>
      <c r="I197" s="11"/>
      <c r="J197" s="11"/>
      <c r="K197" s="11"/>
      <c r="L197" s="11"/>
      <c r="M197" s="65"/>
    </row>
    <row r="198" spans="1:13" hidden="1" outlineLevel="1" x14ac:dyDescent="0.25">
      <c r="B198" s="109" t="s">
        <v>19</v>
      </c>
      <c r="C198" s="109">
        <v>0</v>
      </c>
    </row>
    <row r="199" spans="1:13" hidden="1" outlineLevel="1" x14ac:dyDescent="0.25">
      <c r="B199" s="109" t="s">
        <v>20</v>
      </c>
      <c r="C199" s="109">
        <v>100</v>
      </c>
    </row>
    <row r="200" spans="1:13" hidden="1" outlineLevel="1" x14ac:dyDescent="0.25">
      <c r="B200" s="109" t="s">
        <v>13</v>
      </c>
      <c r="C200" s="109">
        <v>0</v>
      </c>
    </row>
    <row r="201" spans="1:13" hidden="1" outlineLevel="1" x14ac:dyDescent="0.25">
      <c r="B201" s="109"/>
      <c r="C201" s="109"/>
    </row>
    <row r="202" spans="1:13" x14ac:dyDescent="0.25">
      <c r="A202" s="16" t="s">
        <v>328</v>
      </c>
      <c r="B202" s="17" t="s">
        <v>48</v>
      </c>
      <c r="C202" s="17"/>
      <c r="D202" s="17"/>
      <c r="E202" s="17">
        <f>IF(AND($D$203="N/A",$D$211="N/A"),0,1)</f>
        <v>1</v>
      </c>
      <c r="F202" s="32">
        <f>(F211)+F203</f>
        <v>1</v>
      </c>
      <c r="G202" s="32">
        <f>(G211+G203)</f>
        <v>1</v>
      </c>
      <c r="H202" s="32">
        <v>0.1</v>
      </c>
      <c r="I202" s="31">
        <f>IF(E202,H202*SUM($H$6,$H$56,$H$84,$H$143,$H$177,$H$202,)/($E$6*$H$6+$E$56*$H$56+$E$84*$H$84+$E$143*$H$143+$E$177*$H$177+$E$202*$H$202),0)</f>
        <v>0.1</v>
      </c>
      <c r="J202" s="32"/>
      <c r="K202" s="31">
        <f>(K211+K203)*I202/100</f>
        <v>0</v>
      </c>
      <c r="L202" s="32">
        <f>(L211)*I202/100</f>
        <v>0</v>
      </c>
      <c r="M202" s="64"/>
    </row>
    <row r="203" spans="1:13" ht="30" collapsed="1" x14ac:dyDescent="0.25">
      <c r="A203" s="12" t="s">
        <v>329</v>
      </c>
      <c r="B203" s="7" t="s">
        <v>324</v>
      </c>
      <c r="C203" s="101"/>
      <c r="D203" s="111"/>
      <c r="E203" s="7">
        <f>IF($D203="N/A",0,1)</f>
        <v>1</v>
      </c>
      <c r="F203" s="30">
        <v>0.6</v>
      </c>
      <c r="G203" s="30">
        <f>IF(E203,F203*SUM($F$203,$F$211,)/($E$203*$F$203+$E$211*$F$211),0)</f>
        <v>0.6</v>
      </c>
      <c r="J203" s="7">
        <f>IF(ISBLANK($D$203),0,VLOOKUP($D$203,$B$206:$C$209,2,0))</f>
        <v>0</v>
      </c>
      <c r="K203" s="7">
        <f>J203*G203</f>
        <v>0</v>
      </c>
      <c r="L203" s="7">
        <f>IF(ISBLANK(D203),0,IF(D203="Unknown",100*G203,J203*G203))</f>
        <v>0</v>
      </c>
      <c r="M203" s="63" t="str">
        <f>IF(D203=""," ",IF(D203=B208,"X",IF(D203=B209,"??","V")))</f>
        <v xml:space="preserve"> </v>
      </c>
    </row>
    <row r="204" spans="1:13" hidden="1" outlineLevel="1" x14ac:dyDescent="0.25"/>
    <row r="205" spans="1:13" hidden="1" outlineLevel="1" x14ac:dyDescent="0.25">
      <c r="A205" s="15"/>
      <c r="B205" s="108" t="s">
        <v>15</v>
      </c>
      <c r="C205" s="108"/>
      <c r="D205" s="11"/>
      <c r="E205" s="11"/>
      <c r="F205" s="11"/>
      <c r="G205" s="11"/>
      <c r="H205" s="11"/>
      <c r="I205" s="11"/>
      <c r="J205" s="11"/>
      <c r="K205" s="11"/>
      <c r="L205" s="11"/>
      <c r="M205" s="65"/>
    </row>
    <row r="206" spans="1:13" hidden="1" outlineLevel="1" x14ac:dyDescent="0.25">
      <c r="B206" s="109" t="s">
        <v>342</v>
      </c>
      <c r="C206" s="109">
        <v>100</v>
      </c>
    </row>
    <row r="207" spans="1:13" hidden="1" outlineLevel="1" x14ac:dyDescent="0.25">
      <c r="B207" s="109" t="s">
        <v>343</v>
      </c>
      <c r="C207" s="109">
        <v>50</v>
      </c>
    </row>
    <row r="208" spans="1:13" hidden="1" outlineLevel="1" x14ac:dyDescent="0.25">
      <c r="B208" s="109" t="s">
        <v>20</v>
      </c>
      <c r="C208" s="109">
        <v>0</v>
      </c>
    </row>
    <row r="209" spans="1:13" hidden="1" outlineLevel="1" x14ac:dyDescent="0.25">
      <c r="B209" s="109" t="s">
        <v>13</v>
      </c>
      <c r="C209" s="109">
        <v>0</v>
      </c>
    </row>
    <row r="210" spans="1:13" hidden="1" outlineLevel="1" x14ac:dyDescent="0.25">
      <c r="B210" s="109"/>
      <c r="C210" s="109"/>
    </row>
    <row r="211" spans="1:13" ht="30" collapsed="1" x14ac:dyDescent="0.25">
      <c r="A211" s="12" t="s">
        <v>366</v>
      </c>
      <c r="B211" s="7" t="s">
        <v>368</v>
      </c>
      <c r="C211" s="101"/>
      <c r="D211" s="111"/>
      <c r="E211" s="7">
        <f>IF($D211="N/A",0,1)</f>
        <v>1</v>
      </c>
      <c r="F211" s="30">
        <v>0.4</v>
      </c>
      <c r="G211" s="30">
        <f>IF(E211,F211*SUM(,$F$211,)/($E$211*$F$211),0)</f>
        <v>0.40000000000000008</v>
      </c>
      <c r="J211" s="7">
        <f>IF(ISBLANK($D$211),0,VLOOKUP($D$211,$B$214:$C$216,2,0))</f>
        <v>0</v>
      </c>
      <c r="K211" s="7">
        <f>J211*G211</f>
        <v>0</v>
      </c>
      <c r="L211" s="7">
        <f>IF(ISBLANK(D211),0,IF(D211="Unknown",100*G211,J211*G211))</f>
        <v>0</v>
      </c>
      <c r="M211" s="63" t="str">
        <f>IF(D211=B214,"V",IF(D211=B215,"X",IF(D211=B216,"??"," ")))</f>
        <v xml:space="preserve"> </v>
      </c>
    </row>
    <row r="212" spans="1:13" hidden="1" outlineLevel="1" x14ac:dyDescent="0.25"/>
    <row r="213" spans="1:13" hidden="1" outlineLevel="1" x14ac:dyDescent="0.25">
      <c r="A213" s="15"/>
      <c r="B213" s="108" t="s">
        <v>15</v>
      </c>
      <c r="C213" s="108"/>
      <c r="D213" s="11"/>
      <c r="E213" s="11"/>
      <c r="F213" s="11"/>
      <c r="G213" s="11"/>
      <c r="H213" s="11"/>
      <c r="I213" s="11"/>
      <c r="J213" s="11"/>
      <c r="K213" s="11"/>
      <c r="L213" s="11"/>
      <c r="M213" s="65"/>
    </row>
    <row r="214" spans="1:13" hidden="1" outlineLevel="1" x14ac:dyDescent="0.25">
      <c r="B214" s="109" t="s">
        <v>367</v>
      </c>
      <c r="C214" s="109">
        <v>100</v>
      </c>
    </row>
    <row r="215" spans="1:13" hidden="1" outlineLevel="1" x14ac:dyDescent="0.25">
      <c r="B215" s="109" t="s">
        <v>20</v>
      </c>
      <c r="C215" s="109">
        <v>0</v>
      </c>
    </row>
    <row r="216" spans="1:13" hidden="1" outlineLevel="1" x14ac:dyDescent="0.25">
      <c r="B216" s="109" t="s">
        <v>13</v>
      </c>
      <c r="C216" s="109">
        <v>0</v>
      </c>
    </row>
    <row r="217" spans="1:13" hidden="1" outlineLevel="1" x14ac:dyDescent="0.25"/>
    <row r="218" spans="1:13" x14ac:dyDescent="0.25">
      <c r="A218" s="13">
        <v>2</v>
      </c>
      <c r="B218" s="9" t="s">
        <v>53</v>
      </c>
      <c r="C218" s="9"/>
      <c r="D218" s="9"/>
      <c r="E218" s="9"/>
      <c r="F218" s="9"/>
      <c r="G218" s="9"/>
      <c r="H218" s="33">
        <f>(H219+H266)</f>
        <v>1</v>
      </c>
      <c r="I218" s="33">
        <f>(I219+I266)</f>
        <v>1</v>
      </c>
      <c r="J218" s="33"/>
      <c r="K218" s="33">
        <f>(K219+K266)</f>
        <v>0</v>
      </c>
      <c r="L218" s="33">
        <f>(L219+L266)</f>
        <v>0</v>
      </c>
      <c r="M218" s="62"/>
    </row>
    <row r="219" spans="1:13" x14ac:dyDescent="0.25">
      <c r="A219" s="14" t="s">
        <v>54</v>
      </c>
      <c r="B219" s="10" t="s">
        <v>305</v>
      </c>
      <c r="C219" s="10"/>
      <c r="D219" s="10"/>
      <c r="E219" s="17">
        <f>IF(AND($D$220="N/A",$D$231="N/A",$D$244="N/A",$D$253="N/A"),0,1)</f>
        <v>1</v>
      </c>
      <c r="F219" s="31">
        <f>(F220+F231+F244+F253)</f>
        <v>1</v>
      </c>
      <c r="G219" s="31">
        <f>(G220+G231+G244+G253)</f>
        <v>1</v>
      </c>
      <c r="H219" s="31">
        <v>0.5</v>
      </c>
      <c r="I219" s="31">
        <f>IF(E219,H219*SUM($H$219,$H$266)/($E$219*$H$219+$E$266*$H$266),0)</f>
        <v>0.5</v>
      </c>
      <c r="J219" s="31"/>
      <c r="K219" s="31">
        <f>(K220+K231+K244+K253)*I219/100</f>
        <v>0</v>
      </c>
      <c r="L219" s="31">
        <f>(L220+L231+L244+L253)*I219/100</f>
        <v>0</v>
      </c>
      <c r="M219" s="64"/>
    </row>
    <row r="220" spans="1:13" collapsed="1" x14ac:dyDescent="0.25">
      <c r="A220" s="12" t="s">
        <v>55</v>
      </c>
      <c r="B220" s="7" t="s">
        <v>290</v>
      </c>
      <c r="C220" s="101"/>
      <c r="D220" s="111"/>
      <c r="E220" s="7">
        <f>IF($D220="N/A",0,1)</f>
        <v>1</v>
      </c>
      <c r="F220" s="30">
        <v>0.25</v>
      </c>
      <c r="G220" s="30">
        <f>IF(E220,F220*SUM($F$220,$F$231,$F$244,$F$253,)/($E$220*$F$220+$E$231*$F$231+$E$244*$F$244+$E$253*$F$253),0)</f>
        <v>0.25</v>
      </c>
      <c r="J220" s="7">
        <f>IF(ISBLANK($D$220),0,VLOOKUP($D$220,$B$226:$C$229,2,0))</f>
        <v>0</v>
      </c>
      <c r="K220" s="7">
        <f>J220*G220</f>
        <v>0</v>
      </c>
      <c r="L220" s="7">
        <f>IF(ISBLANK(D220),0,IF(D220="Unknown",100*G220,J220*G220))</f>
        <v>0</v>
      </c>
      <c r="M220" s="63" t="str">
        <f>IF(D220=B228,"X",IF(D220=B229,"??",IF(D220=""," ","V")))</f>
        <v xml:space="preserve"> </v>
      </c>
    </row>
    <row r="221" spans="1:13" hidden="1" outlineLevel="1" x14ac:dyDescent="0.25">
      <c r="G221" s="30"/>
      <c r="M221" s="7"/>
    </row>
    <row r="222" spans="1:13" hidden="1" outlineLevel="1" x14ac:dyDescent="0.25">
      <c r="A222" s="15"/>
      <c r="B222" s="108" t="s">
        <v>16</v>
      </c>
      <c r="C222" s="108"/>
      <c r="D222" s="11"/>
      <c r="E222" s="11"/>
      <c r="F222" s="11"/>
      <c r="G222" s="11"/>
      <c r="H222" s="11"/>
      <c r="I222" s="11"/>
      <c r="J222" s="11"/>
      <c r="K222" s="11"/>
      <c r="L222" s="11"/>
      <c r="M222" s="11"/>
    </row>
    <row r="223" spans="1:13" hidden="1" outlineLevel="1" x14ac:dyDescent="0.25">
      <c r="B223" s="109" t="s">
        <v>294</v>
      </c>
      <c r="C223" s="109"/>
      <c r="G223" s="30"/>
      <c r="M223" s="7"/>
    </row>
    <row r="224" spans="1:13" hidden="1" outlineLevel="1" x14ac:dyDescent="0.25">
      <c r="B224" s="109"/>
      <c r="C224" s="109"/>
      <c r="G224" s="30"/>
      <c r="M224" s="7"/>
    </row>
    <row r="225" spans="1:13" hidden="1" outlineLevel="1" x14ac:dyDescent="0.25">
      <c r="A225" s="15"/>
      <c r="B225" s="108" t="s">
        <v>15</v>
      </c>
      <c r="C225" s="108"/>
      <c r="D225" s="11"/>
      <c r="E225" s="11"/>
      <c r="F225" s="11"/>
      <c r="G225" s="11"/>
      <c r="H225" s="11"/>
      <c r="I225" s="11"/>
      <c r="J225" s="11"/>
      <c r="K225" s="11"/>
      <c r="L225" s="11"/>
      <c r="M225" s="11"/>
    </row>
    <row r="226" spans="1:13" hidden="1" outlineLevel="1" x14ac:dyDescent="0.25">
      <c r="B226" s="109" t="s">
        <v>293</v>
      </c>
      <c r="C226" s="109">
        <v>90</v>
      </c>
      <c r="G226" s="30"/>
      <c r="M226" s="7"/>
    </row>
    <row r="227" spans="1:13" hidden="1" outlineLevel="1" x14ac:dyDescent="0.25">
      <c r="B227" s="109" t="s">
        <v>292</v>
      </c>
      <c r="C227" s="109">
        <v>60</v>
      </c>
      <c r="G227" s="30"/>
      <c r="M227" s="7"/>
    </row>
    <row r="228" spans="1:13" hidden="1" outlineLevel="1" x14ac:dyDescent="0.25">
      <c r="B228" s="109" t="s">
        <v>291</v>
      </c>
      <c r="C228" s="109">
        <v>30</v>
      </c>
      <c r="G228" s="30"/>
      <c r="M228" s="7"/>
    </row>
    <row r="229" spans="1:13" hidden="1" outlineLevel="1" x14ac:dyDescent="0.25">
      <c r="B229" s="109" t="s">
        <v>13</v>
      </c>
      <c r="C229" s="109">
        <v>0</v>
      </c>
      <c r="G229" s="30"/>
      <c r="M229" s="7"/>
    </row>
    <row r="230" spans="1:13" hidden="1" outlineLevel="1" x14ac:dyDescent="0.25">
      <c r="G230" s="30"/>
      <c r="M230" s="7"/>
    </row>
    <row r="231" spans="1:13" ht="30" collapsed="1" x14ac:dyDescent="0.25">
      <c r="A231" s="12" t="s">
        <v>56</v>
      </c>
      <c r="B231" s="7" t="s">
        <v>295</v>
      </c>
      <c r="C231" s="101"/>
      <c r="D231" s="111"/>
      <c r="E231" s="7">
        <f>IF($D231="N/A",0,1)</f>
        <v>1</v>
      </c>
      <c r="F231" s="30">
        <v>0.25</v>
      </c>
      <c r="G231" s="30">
        <f>IF(E231,F231*SUM($F$220,$F$231,$F$244,$F$253)/($E$220*$F$220+$E$231*$F$231+$E$244*$F$244+$E$253*$F$253),0)</f>
        <v>0.25</v>
      </c>
      <c r="J231" s="7">
        <f>IF(ISBLANK($D$231),0,VLOOKUP($D$231,$B$237:$C$242,2,0))</f>
        <v>0</v>
      </c>
      <c r="K231" s="7">
        <f>J231*G231</f>
        <v>0</v>
      </c>
      <c r="L231" s="7">
        <f>IF(ISBLANK(D231),0,IF(D231="Unknown",100*G231,J231*G231))</f>
        <v>0</v>
      </c>
      <c r="M231" s="63" t="str">
        <f>IF(D231=B241,"X",IF(D231=B242,"??",IF(D231=""," ","V")))</f>
        <v xml:space="preserve"> </v>
      </c>
    </row>
    <row r="232" spans="1:13" hidden="1" outlineLevel="1" x14ac:dyDescent="0.25">
      <c r="G232" s="30"/>
      <c r="M232" s="7"/>
    </row>
    <row r="233" spans="1:13" hidden="1" outlineLevel="1" x14ac:dyDescent="0.25">
      <c r="A233" s="15"/>
      <c r="B233" s="108" t="s">
        <v>16</v>
      </c>
      <c r="C233" s="108"/>
      <c r="D233" s="11"/>
      <c r="E233" s="11"/>
      <c r="F233" s="11"/>
      <c r="G233" s="11"/>
      <c r="H233" s="11"/>
      <c r="I233" s="11"/>
      <c r="J233" s="11"/>
      <c r="K233" s="11"/>
      <c r="L233" s="11"/>
      <c r="M233" s="11"/>
    </row>
    <row r="234" spans="1:13" ht="75" hidden="1" outlineLevel="1" x14ac:dyDescent="0.25">
      <c r="B234" s="109" t="s">
        <v>296</v>
      </c>
      <c r="C234" s="109"/>
      <c r="G234" s="30"/>
      <c r="M234" s="7"/>
    </row>
    <row r="235" spans="1:13" hidden="1" outlineLevel="1" x14ac:dyDescent="0.25">
      <c r="B235" s="109"/>
      <c r="C235" s="109"/>
      <c r="G235" s="30"/>
      <c r="M235" s="7"/>
    </row>
    <row r="236" spans="1:13" hidden="1" outlineLevel="1" x14ac:dyDescent="0.25">
      <c r="A236" s="15"/>
      <c r="B236" s="108" t="s">
        <v>15</v>
      </c>
      <c r="C236" s="108"/>
      <c r="D236" s="11"/>
      <c r="E236" s="11"/>
      <c r="F236" s="11"/>
      <c r="G236" s="11"/>
      <c r="H236" s="11"/>
      <c r="I236" s="11"/>
      <c r="J236" s="11"/>
      <c r="K236" s="11"/>
      <c r="L236" s="11"/>
      <c r="M236" s="11"/>
    </row>
    <row r="237" spans="1:13" hidden="1" outlineLevel="1" x14ac:dyDescent="0.25">
      <c r="B237" s="109" t="s">
        <v>297</v>
      </c>
      <c r="C237" s="109">
        <v>90</v>
      </c>
      <c r="G237" s="30"/>
      <c r="M237" s="7"/>
    </row>
    <row r="238" spans="1:13" hidden="1" outlineLevel="1" x14ac:dyDescent="0.25">
      <c r="B238" s="109" t="s">
        <v>298</v>
      </c>
      <c r="C238" s="109">
        <v>70</v>
      </c>
      <c r="G238" s="30"/>
      <c r="M238" s="7"/>
    </row>
    <row r="239" spans="1:13" hidden="1" outlineLevel="1" x14ac:dyDescent="0.25">
      <c r="B239" s="109" t="s">
        <v>299</v>
      </c>
      <c r="C239" s="109">
        <v>50</v>
      </c>
      <c r="G239" s="30"/>
      <c r="M239" s="7"/>
    </row>
    <row r="240" spans="1:13" hidden="1" outlineLevel="1" x14ac:dyDescent="0.25">
      <c r="B240" s="109" t="s">
        <v>300</v>
      </c>
      <c r="C240" s="109">
        <v>30</v>
      </c>
      <c r="G240" s="30"/>
      <c r="M240" s="7"/>
    </row>
    <row r="241" spans="1:13" hidden="1" outlineLevel="1" x14ac:dyDescent="0.25">
      <c r="B241" s="109" t="s">
        <v>383</v>
      </c>
      <c r="C241" s="109">
        <v>0</v>
      </c>
      <c r="G241" s="30"/>
      <c r="M241" s="7"/>
    </row>
    <row r="242" spans="1:13" hidden="1" outlineLevel="1" x14ac:dyDescent="0.25">
      <c r="B242" s="109" t="s">
        <v>13</v>
      </c>
      <c r="C242" s="109">
        <v>0</v>
      </c>
      <c r="G242" s="30"/>
      <c r="M242" s="7"/>
    </row>
    <row r="243" spans="1:13" hidden="1" outlineLevel="1" x14ac:dyDescent="0.25">
      <c r="G243" s="30"/>
      <c r="M243" s="7"/>
    </row>
    <row r="244" spans="1:13" ht="30" collapsed="1" x14ac:dyDescent="0.25">
      <c r="A244" s="12" t="s">
        <v>57</v>
      </c>
      <c r="B244" s="7" t="s">
        <v>287</v>
      </c>
      <c r="C244" s="101"/>
      <c r="D244" s="111"/>
      <c r="E244" s="7">
        <f>IF($D244="N/A",0,1)</f>
        <v>1</v>
      </c>
      <c r="F244" s="30">
        <v>0.25</v>
      </c>
      <c r="G244" s="30">
        <f>IF(E244,F244*SUM($F$220,$F$231,$F$244,$F$253)/($E$220*$F$220+$E$231*$F$231+$E$244*$F$244+$E$253*$F$253),0)</f>
        <v>0.25</v>
      </c>
      <c r="J244" s="7">
        <f>IF(ISBLANK($D$244),0,VLOOKUP($D$244,$B$247:$C$251,2,0))</f>
        <v>0</v>
      </c>
      <c r="K244" s="7">
        <f>J244*G244</f>
        <v>0</v>
      </c>
      <c r="L244" s="7">
        <f>IF(ISBLANK(D244),0,IF(D244="Unknown",100*G244,J244*G244))</f>
        <v>0</v>
      </c>
      <c r="M244" s="63" t="str">
        <f>IF(D244=B250,"X",IF(D244=B251,"??",IF(D244=""," ","V")))</f>
        <v xml:space="preserve"> </v>
      </c>
    </row>
    <row r="245" spans="1:13" hidden="1" outlineLevel="1" x14ac:dyDescent="0.25">
      <c r="G245" s="30"/>
      <c r="M245" s="7"/>
    </row>
    <row r="246" spans="1:13" hidden="1" outlineLevel="1" x14ac:dyDescent="0.25">
      <c r="A246" s="15"/>
      <c r="B246" s="108" t="s">
        <v>15</v>
      </c>
      <c r="C246" s="108"/>
      <c r="D246" s="11"/>
      <c r="E246" s="11"/>
      <c r="F246" s="11"/>
      <c r="G246" s="11"/>
      <c r="H246" s="11"/>
      <c r="I246" s="11"/>
      <c r="J246" s="11"/>
      <c r="K246" s="11"/>
      <c r="L246" s="11"/>
      <c r="M246" s="11"/>
    </row>
    <row r="247" spans="1:13" hidden="1" outlineLevel="1" x14ac:dyDescent="0.25">
      <c r="B247" s="109" t="s">
        <v>344</v>
      </c>
      <c r="C247" s="109">
        <v>100</v>
      </c>
      <c r="G247" s="30"/>
      <c r="M247" s="7"/>
    </row>
    <row r="248" spans="1:13" hidden="1" outlineLevel="1" x14ac:dyDescent="0.25">
      <c r="B248" s="109" t="s">
        <v>302</v>
      </c>
      <c r="C248" s="109">
        <v>50</v>
      </c>
      <c r="G248" s="30"/>
      <c r="M248" s="7"/>
    </row>
    <row r="249" spans="1:13" hidden="1" outlineLevel="1" x14ac:dyDescent="0.25">
      <c r="B249" s="109" t="s">
        <v>301</v>
      </c>
      <c r="C249" s="109">
        <v>50</v>
      </c>
      <c r="G249" s="30"/>
      <c r="M249" s="7"/>
    </row>
    <row r="250" spans="1:13" hidden="1" outlineLevel="1" x14ac:dyDescent="0.25">
      <c r="B250" s="109" t="s">
        <v>382</v>
      </c>
      <c r="C250" s="109">
        <v>0</v>
      </c>
      <c r="G250" s="30"/>
      <c r="M250" s="7"/>
    </row>
    <row r="251" spans="1:13" hidden="1" outlineLevel="1" x14ac:dyDescent="0.25">
      <c r="B251" s="109" t="s">
        <v>13</v>
      </c>
      <c r="C251" s="109">
        <v>0</v>
      </c>
      <c r="G251" s="30"/>
      <c r="M251" s="7"/>
    </row>
    <row r="252" spans="1:13" hidden="1" outlineLevel="1" x14ac:dyDescent="0.25">
      <c r="G252" s="30"/>
      <c r="M252" s="7"/>
    </row>
    <row r="253" spans="1:13" collapsed="1" x14ac:dyDescent="0.25">
      <c r="A253" s="12" t="s">
        <v>58</v>
      </c>
      <c r="B253" s="7" t="s">
        <v>304</v>
      </c>
      <c r="C253" s="101"/>
      <c r="D253" s="111"/>
      <c r="E253" s="7">
        <f>IF($D253="N/A",0,1)</f>
        <v>1</v>
      </c>
      <c r="F253" s="30">
        <v>0.25</v>
      </c>
      <c r="G253" s="30">
        <f>IF(E253,F253*SUM($F$220,$F$231,$F$244,$F$253,)/($E$220*$F$220+$E$231*$F$231+$E$244*$F$244+$E$253*$F$253),0)</f>
        <v>0.25</v>
      </c>
      <c r="J253" s="7">
        <f>IF(ISBLANK($D$253),0,VLOOKUP($D$253,$B$259:$C$263,2,0))</f>
        <v>0</v>
      </c>
      <c r="K253" s="7">
        <f>J253*G253</f>
        <v>0</v>
      </c>
      <c r="L253" s="7">
        <f>IF(ISBLANK(D253),0,IF(D253="Unknown",100*G253,J253*G253))</f>
        <v>0</v>
      </c>
      <c r="M253" s="63" t="str">
        <f>IF(D253=B262,"X",IF(D253=B263,"??",IF(D253=""," ","V")))</f>
        <v xml:space="preserve"> </v>
      </c>
    </row>
    <row r="254" spans="1:13" hidden="1" outlineLevel="1" x14ac:dyDescent="0.25">
      <c r="G254" s="30"/>
    </row>
    <row r="255" spans="1:13" hidden="1" outlineLevel="1" x14ac:dyDescent="0.25">
      <c r="A255" s="15"/>
      <c r="B255" s="108" t="s">
        <v>16</v>
      </c>
      <c r="C255" s="108"/>
      <c r="D255" s="11"/>
      <c r="E255" s="11"/>
      <c r="F255" s="11"/>
      <c r="G255" s="11"/>
      <c r="H255" s="11"/>
      <c r="I255" s="11"/>
      <c r="J255" s="11"/>
      <c r="K255" s="11"/>
      <c r="L255" s="11"/>
      <c r="M255" s="65"/>
    </row>
    <row r="256" spans="1:13" hidden="1" outlineLevel="1" x14ac:dyDescent="0.25">
      <c r="B256" s="109" t="s">
        <v>59</v>
      </c>
      <c r="C256" s="109"/>
      <c r="G256" s="30"/>
    </row>
    <row r="257" spans="1:13" hidden="1" outlineLevel="1" x14ac:dyDescent="0.25">
      <c r="B257" s="109"/>
      <c r="C257" s="109"/>
      <c r="G257" s="30"/>
    </row>
    <row r="258" spans="1:13" hidden="1" outlineLevel="1" x14ac:dyDescent="0.25">
      <c r="A258" s="15"/>
      <c r="B258" s="108" t="s">
        <v>15</v>
      </c>
      <c r="C258" s="108"/>
      <c r="D258" s="11"/>
      <c r="E258" s="11"/>
      <c r="F258" s="11"/>
      <c r="G258" s="11"/>
      <c r="H258" s="11"/>
      <c r="I258" s="11"/>
      <c r="J258" s="11"/>
      <c r="K258" s="11"/>
      <c r="L258" s="11"/>
      <c r="M258" s="65"/>
    </row>
    <row r="259" spans="1:13" hidden="1" outlineLevel="1" x14ac:dyDescent="0.25">
      <c r="B259" s="109" t="s">
        <v>346</v>
      </c>
      <c r="C259" s="109">
        <v>100</v>
      </c>
      <c r="G259" s="30"/>
    </row>
    <row r="260" spans="1:13" hidden="1" outlineLevel="1" x14ac:dyDescent="0.25">
      <c r="B260" s="109" t="s">
        <v>345</v>
      </c>
      <c r="C260" s="109">
        <v>80</v>
      </c>
      <c r="G260" s="30"/>
    </row>
    <row r="261" spans="1:13" hidden="1" outlineLevel="1" x14ac:dyDescent="0.25">
      <c r="B261" s="109" t="s">
        <v>303</v>
      </c>
      <c r="C261" s="109">
        <v>50</v>
      </c>
      <c r="G261" s="30"/>
    </row>
    <row r="262" spans="1:13" hidden="1" outlineLevel="1" x14ac:dyDescent="0.25">
      <c r="B262" s="109" t="s">
        <v>20</v>
      </c>
      <c r="C262" s="109">
        <v>0</v>
      </c>
      <c r="G262" s="30"/>
    </row>
    <row r="263" spans="1:13" hidden="1" outlineLevel="1" x14ac:dyDescent="0.25">
      <c r="B263" s="109" t="s">
        <v>13</v>
      </c>
      <c r="C263" s="109">
        <v>0</v>
      </c>
      <c r="G263" s="30"/>
    </row>
    <row r="264" spans="1:13" hidden="1" outlineLevel="1" x14ac:dyDescent="0.25">
      <c r="G264" s="30"/>
    </row>
    <row r="265" spans="1:13" hidden="1" outlineLevel="1" x14ac:dyDescent="0.25"/>
    <row r="266" spans="1:13" x14ac:dyDescent="0.25">
      <c r="A266" s="14" t="s">
        <v>60</v>
      </c>
      <c r="B266" s="10" t="s">
        <v>306</v>
      </c>
      <c r="C266" s="10"/>
      <c r="D266" s="10"/>
      <c r="E266" s="17">
        <f>IF(AND($D$267="N/A",$D$277="N/A",$D$289="N/A",$D$299="N/A",$D$309="N/A"),0,1)</f>
        <v>1</v>
      </c>
      <c r="F266" s="31">
        <f>(F267+F277+F289+F299+F309)</f>
        <v>1</v>
      </c>
      <c r="G266" s="31">
        <f>(G267+G277+G289+G299+G309)</f>
        <v>1</v>
      </c>
      <c r="H266" s="31">
        <v>0.5</v>
      </c>
      <c r="I266" s="31">
        <f>IF(E266,H266*SUM($H$219,$H$266)/($E$219*$H$219+$E$266*$H$266),0)</f>
        <v>0.5</v>
      </c>
      <c r="J266" s="31"/>
      <c r="K266" s="31">
        <f>(K267+K277+K289+K299+K309)*I266/100</f>
        <v>0</v>
      </c>
      <c r="L266" s="31">
        <f>(L267+L277+L289+L299)*I266/100</f>
        <v>0</v>
      </c>
      <c r="M266" s="64"/>
    </row>
    <row r="267" spans="1:13" ht="30" collapsed="1" x14ac:dyDescent="0.25">
      <c r="A267" s="12" t="s">
        <v>61</v>
      </c>
      <c r="B267" s="7" t="s">
        <v>307</v>
      </c>
      <c r="C267" s="101"/>
      <c r="D267" s="111"/>
      <c r="E267" s="7">
        <f>IF($D267="N/A",0,1)</f>
        <v>1</v>
      </c>
      <c r="F267" s="30">
        <v>0.2</v>
      </c>
      <c r="G267" s="30">
        <f>IF(E267,F267*SUM($F$267,$F$277,$F$289,$F$299,$F$309,)/($E$267*$F$267+$E$277*$F$277+$E$289*$F$289+$E$299*$F$299+$E$309*$F$309),0)</f>
        <v>0.2</v>
      </c>
      <c r="J267" s="7">
        <f>IF(ISBLANK($D$267),0,VLOOKUP($D$267,$B$270:$C$275,2,0))</f>
        <v>0</v>
      </c>
      <c r="K267" s="7">
        <f>J267*G267</f>
        <v>0</v>
      </c>
      <c r="L267" s="7">
        <f>IF(ISBLANK(D267),0,IF(D267="Unknown",100*G267,J267*G267))</f>
        <v>0</v>
      </c>
      <c r="M267" s="63" t="str">
        <f>IF(D267=B273,"X",IF(D267=B274,"??",IF(D267=""," ",IF(D267=B275,"N/A","V"))))</f>
        <v xml:space="preserve"> </v>
      </c>
    </row>
    <row r="268" spans="1:13" hidden="1" outlineLevel="1" x14ac:dyDescent="0.25">
      <c r="G268" s="30"/>
      <c r="M268" s="7"/>
    </row>
    <row r="269" spans="1:13" hidden="1" outlineLevel="1" x14ac:dyDescent="0.25">
      <c r="A269" s="15"/>
      <c r="B269" s="108" t="s">
        <v>15</v>
      </c>
      <c r="C269" s="108"/>
      <c r="D269" s="11"/>
      <c r="E269" s="11"/>
      <c r="F269" s="11"/>
      <c r="G269" s="11"/>
      <c r="H269" s="11"/>
      <c r="I269" s="11"/>
      <c r="J269" s="11"/>
      <c r="K269" s="11"/>
      <c r="L269" s="11"/>
      <c r="M269" s="11"/>
    </row>
    <row r="270" spans="1:13" hidden="1" outlineLevel="1" x14ac:dyDescent="0.25">
      <c r="B270" s="109" t="s">
        <v>308</v>
      </c>
      <c r="C270" s="109">
        <v>100</v>
      </c>
      <c r="G270" s="30"/>
      <c r="M270" s="7"/>
    </row>
    <row r="271" spans="1:13" hidden="1" outlineLevel="1" x14ac:dyDescent="0.25">
      <c r="B271" s="109" t="s">
        <v>309</v>
      </c>
      <c r="C271" s="109">
        <v>75</v>
      </c>
      <c r="G271" s="30"/>
      <c r="M271" s="7"/>
    </row>
    <row r="272" spans="1:13" hidden="1" outlineLevel="1" x14ac:dyDescent="0.25">
      <c r="B272" s="109" t="s">
        <v>310</v>
      </c>
      <c r="C272" s="109">
        <v>50</v>
      </c>
      <c r="G272" s="30"/>
      <c r="M272" s="7"/>
    </row>
    <row r="273" spans="1:13" hidden="1" outlineLevel="1" x14ac:dyDescent="0.25">
      <c r="B273" s="109" t="s">
        <v>20</v>
      </c>
      <c r="C273" s="109">
        <v>25</v>
      </c>
      <c r="G273" s="30"/>
      <c r="M273" s="7"/>
    </row>
    <row r="274" spans="1:13" hidden="1" outlineLevel="1" x14ac:dyDescent="0.25">
      <c r="B274" s="109" t="s">
        <v>13</v>
      </c>
      <c r="C274" s="109">
        <v>0</v>
      </c>
      <c r="G274" s="30"/>
      <c r="M274" s="7"/>
    </row>
    <row r="275" spans="1:13" hidden="1" outlineLevel="1" x14ac:dyDescent="0.25">
      <c r="B275" s="109" t="s">
        <v>35</v>
      </c>
      <c r="C275" s="109">
        <v>-1</v>
      </c>
      <c r="G275" s="30"/>
      <c r="M275" s="7"/>
    </row>
    <row r="276" spans="1:13" hidden="1" outlineLevel="1" x14ac:dyDescent="0.25">
      <c r="G276" s="30"/>
      <c r="M276" s="7"/>
    </row>
    <row r="277" spans="1:13" collapsed="1" x14ac:dyDescent="0.25">
      <c r="A277" s="12" t="s">
        <v>64</v>
      </c>
      <c r="B277" s="7" t="s">
        <v>311</v>
      </c>
      <c r="C277" s="101"/>
      <c r="D277" s="111"/>
      <c r="E277" s="7">
        <f>IF($D277="N/A",0,1)</f>
        <v>1</v>
      </c>
      <c r="F277" s="30">
        <v>0.2</v>
      </c>
      <c r="G277" s="30">
        <f>IF(E277,F277*SUM($F$267,$F$277,$F$289,$F$299,$F$309,)/($E$267*$F$267+$E$277*$F$277+$E$289*$F$289+$E$299*$F$299+$E$309*$F$309),0)</f>
        <v>0.2</v>
      </c>
      <c r="J277" s="7">
        <f>IF(ISBLANK($D$277),0,VLOOKUP($D$277,$B$283:$C$287,2,0))</f>
        <v>0</v>
      </c>
      <c r="K277" s="7">
        <f>J277*G277</f>
        <v>0</v>
      </c>
      <c r="L277" s="7">
        <f>IF(ISBLANK(D277),0,IF(D277="Unknown",100*G277,J277*G277))</f>
        <v>0</v>
      </c>
      <c r="M277" s="63" t="str">
        <f>IF(D277=B285,"X",IF(D277=B286,"??",IF(D277=""," ",IF(D277=B287,"N/A","V"))))</f>
        <v xml:space="preserve"> </v>
      </c>
    </row>
    <row r="278" spans="1:13" hidden="1" outlineLevel="1" x14ac:dyDescent="0.25">
      <c r="G278" s="30"/>
      <c r="M278" s="7"/>
    </row>
    <row r="279" spans="1:13" hidden="1" outlineLevel="1" x14ac:dyDescent="0.25">
      <c r="A279" s="15"/>
      <c r="B279" s="108" t="s">
        <v>16</v>
      </c>
      <c r="C279" s="108"/>
      <c r="D279" s="11"/>
      <c r="E279" s="11"/>
      <c r="F279" s="11"/>
      <c r="G279" s="11"/>
      <c r="H279" s="11"/>
      <c r="I279" s="11"/>
      <c r="J279" s="11"/>
      <c r="K279" s="11"/>
      <c r="L279" s="11"/>
      <c r="M279" s="11"/>
    </row>
    <row r="280" spans="1:13" ht="30" hidden="1" outlineLevel="1" x14ac:dyDescent="0.25">
      <c r="B280" s="109" t="s">
        <v>312</v>
      </c>
      <c r="C280" s="109"/>
      <c r="G280" s="30"/>
      <c r="M280" s="7"/>
    </row>
    <row r="281" spans="1:13" hidden="1" outlineLevel="1" x14ac:dyDescent="0.25">
      <c r="B281" s="109"/>
      <c r="C281" s="109"/>
      <c r="G281" s="30"/>
      <c r="M281" s="7"/>
    </row>
    <row r="282" spans="1:13" hidden="1" outlineLevel="1" x14ac:dyDescent="0.25">
      <c r="A282" s="15"/>
      <c r="B282" s="108" t="s">
        <v>15</v>
      </c>
      <c r="C282" s="108"/>
      <c r="D282" s="11"/>
      <c r="E282" s="11"/>
      <c r="F282" s="11"/>
      <c r="G282" s="11"/>
      <c r="H282" s="11"/>
      <c r="I282" s="11"/>
      <c r="J282" s="11"/>
      <c r="K282" s="11"/>
      <c r="L282" s="11"/>
      <c r="M282" s="11"/>
    </row>
    <row r="283" spans="1:13" hidden="1" outlineLevel="1" x14ac:dyDescent="0.25">
      <c r="B283" s="109" t="s">
        <v>293</v>
      </c>
      <c r="C283" s="109">
        <v>100</v>
      </c>
      <c r="G283" s="30"/>
      <c r="M283" s="7"/>
    </row>
    <row r="284" spans="1:13" hidden="1" outlineLevel="1" x14ac:dyDescent="0.25">
      <c r="B284" s="109" t="s">
        <v>292</v>
      </c>
      <c r="C284" s="109">
        <v>60</v>
      </c>
      <c r="G284" s="30"/>
      <c r="M284" s="7"/>
    </row>
    <row r="285" spans="1:13" hidden="1" outlineLevel="1" x14ac:dyDescent="0.25">
      <c r="B285" s="109" t="s">
        <v>291</v>
      </c>
      <c r="C285" s="109">
        <v>20</v>
      </c>
      <c r="G285" s="30"/>
      <c r="M285" s="7"/>
    </row>
    <row r="286" spans="1:13" hidden="1" outlineLevel="1" x14ac:dyDescent="0.25">
      <c r="B286" s="109" t="s">
        <v>13</v>
      </c>
      <c r="C286" s="109">
        <v>0</v>
      </c>
      <c r="G286" s="30"/>
      <c r="M286" s="7"/>
    </row>
    <row r="287" spans="1:13" hidden="1" outlineLevel="1" x14ac:dyDescent="0.25">
      <c r="B287" s="109" t="s">
        <v>35</v>
      </c>
      <c r="C287" s="109">
        <v>-1</v>
      </c>
      <c r="G287" s="30"/>
      <c r="M287" s="7"/>
    </row>
    <row r="288" spans="1:13" hidden="1" outlineLevel="1" x14ac:dyDescent="0.25">
      <c r="G288" s="30"/>
      <c r="M288" s="7"/>
    </row>
    <row r="289" spans="1:13" ht="30" collapsed="1" x14ac:dyDescent="0.25">
      <c r="A289" s="12" t="s">
        <v>65</v>
      </c>
      <c r="B289" s="7" t="s">
        <v>313</v>
      </c>
      <c r="C289" s="101"/>
      <c r="D289" s="111"/>
      <c r="E289" s="7">
        <f>IF($D289="N/A",0,1)</f>
        <v>1</v>
      </c>
      <c r="F289" s="30">
        <v>0.2</v>
      </c>
      <c r="G289" s="30">
        <f>IF(E289,F289*SUM($F$267,$F$277,$F$289,$F$299,$F$309,)/($E$267*$F$267+$E$277*$F$277+$E$289*$F$289+$E$299*$F$299+$E$309*$F$309),0)</f>
        <v>0.2</v>
      </c>
      <c r="J289" s="7">
        <f>IF(ISBLANK($D$289),0,VLOOKUP($D$289,$B$292:$C$297,2,0))</f>
        <v>0</v>
      </c>
      <c r="K289" s="7">
        <f>J289*G289</f>
        <v>0</v>
      </c>
      <c r="L289" s="7">
        <f>IF(ISBLANK(D289),0,IF(D289="Unknown",100*G289,J289*G289))</f>
        <v>0</v>
      </c>
      <c r="M289" s="63" t="str">
        <f>IF(D289=B295,"X",IF(D289=B296,"??",IF(D289=""," ",IF(D289=B297,"N/A","V"))))</f>
        <v xml:space="preserve"> </v>
      </c>
    </row>
    <row r="290" spans="1:13" hidden="1" outlineLevel="1" x14ac:dyDescent="0.25">
      <c r="B290" s="109"/>
      <c r="C290" s="109"/>
      <c r="G290" s="30"/>
      <c r="M290" s="7"/>
    </row>
    <row r="291" spans="1:13" hidden="1" outlineLevel="1" x14ac:dyDescent="0.25">
      <c r="A291" s="15"/>
      <c r="B291" s="108" t="s">
        <v>15</v>
      </c>
      <c r="C291" s="108"/>
      <c r="D291" s="11"/>
      <c r="E291" s="11"/>
      <c r="F291" s="11"/>
      <c r="G291" s="11"/>
      <c r="H291" s="11"/>
      <c r="I291" s="11"/>
      <c r="J291" s="11"/>
      <c r="K291" s="11"/>
      <c r="L291" s="11"/>
      <c r="M291" s="11"/>
    </row>
    <row r="292" spans="1:13" hidden="1" outlineLevel="1" x14ac:dyDescent="0.25">
      <c r="B292" s="109" t="s">
        <v>347</v>
      </c>
      <c r="C292" s="109">
        <v>100</v>
      </c>
      <c r="G292" s="30"/>
      <c r="M292" s="7"/>
    </row>
    <row r="293" spans="1:13" hidden="1" outlineLevel="1" x14ac:dyDescent="0.25">
      <c r="B293" s="109" t="s">
        <v>314</v>
      </c>
      <c r="C293" s="109">
        <v>50</v>
      </c>
      <c r="G293" s="30"/>
      <c r="M293" s="7"/>
    </row>
    <row r="294" spans="1:13" hidden="1" outlineLevel="1" x14ac:dyDescent="0.25">
      <c r="B294" s="109" t="s">
        <v>315</v>
      </c>
      <c r="C294" s="109">
        <v>50</v>
      </c>
      <c r="G294" s="30"/>
      <c r="M294" s="7"/>
    </row>
    <row r="295" spans="1:13" hidden="1" outlineLevel="1" x14ac:dyDescent="0.25">
      <c r="B295" s="109" t="s">
        <v>20</v>
      </c>
      <c r="C295" s="109">
        <v>0</v>
      </c>
      <c r="G295" s="30"/>
      <c r="M295" s="7"/>
    </row>
    <row r="296" spans="1:13" hidden="1" outlineLevel="1" x14ac:dyDescent="0.25">
      <c r="B296" s="109" t="s">
        <v>13</v>
      </c>
      <c r="C296" s="109">
        <v>0</v>
      </c>
      <c r="G296" s="30"/>
      <c r="M296" s="7"/>
    </row>
    <row r="297" spans="1:13" hidden="1" outlineLevel="1" x14ac:dyDescent="0.25">
      <c r="B297" s="109" t="s">
        <v>35</v>
      </c>
      <c r="C297" s="109">
        <v>-1</v>
      </c>
      <c r="G297" s="30"/>
      <c r="M297" s="7"/>
    </row>
    <row r="298" spans="1:13" hidden="1" outlineLevel="1" x14ac:dyDescent="0.25">
      <c r="G298" s="30"/>
      <c r="M298" s="7"/>
    </row>
    <row r="299" spans="1:13" collapsed="1" x14ac:dyDescent="0.25">
      <c r="A299" s="12" t="s">
        <v>66</v>
      </c>
      <c r="B299" s="7" t="s">
        <v>316</v>
      </c>
      <c r="C299" s="101"/>
      <c r="D299" s="111"/>
      <c r="E299" s="7">
        <f>IF($D299="N/A",0,1)</f>
        <v>1</v>
      </c>
      <c r="F299" s="30">
        <v>0.2</v>
      </c>
      <c r="G299" s="30">
        <f>IF(E299,F299*SUM($F$267,$F$277,$F$289,$F$299,$F$309,)/($E$267*$F$267+$E$277*$F$277+$E$289*$F$289+$E$299*$F$299+$E$309*$F$309),0)</f>
        <v>0.2</v>
      </c>
      <c r="J299" s="7">
        <f>IF(ISBLANK($D$299),0,VLOOKUP($D$299,$B$302:$C$306,2,0))</f>
        <v>0</v>
      </c>
      <c r="K299" s="7">
        <f>J299*G299</f>
        <v>0</v>
      </c>
      <c r="L299" s="7">
        <f>IF(ISBLANK(D299),0,IF(D299="Unknown",100*G299,J299*G299))</f>
        <v>0</v>
      </c>
      <c r="M299" s="63" t="str">
        <f>IF(D299=B305,"X",IF(D299=B306,"??",IF(D299=""," ",IF(D299=B307,"N/A",IF(D299=B304,"X","V")))))</f>
        <v xml:space="preserve"> </v>
      </c>
    </row>
    <row r="300" spans="1:13" hidden="1" outlineLevel="1" x14ac:dyDescent="0.25">
      <c r="M300" s="7"/>
    </row>
    <row r="301" spans="1:13" hidden="1" outlineLevel="1" x14ac:dyDescent="0.25">
      <c r="A301" s="15"/>
      <c r="B301" s="108" t="s">
        <v>15</v>
      </c>
      <c r="C301" s="108"/>
      <c r="D301" s="11"/>
      <c r="E301" s="11"/>
      <c r="F301" s="11"/>
      <c r="G301" s="11"/>
      <c r="H301" s="11"/>
      <c r="I301" s="11"/>
      <c r="J301" s="11"/>
      <c r="K301" s="11"/>
      <c r="L301" s="11"/>
      <c r="M301" s="11"/>
    </row>
    <row r="302" spans="1:13" hidden="1" outlineLevel="1" x14ac:dyDescent="0.25">
      <c r="B302" s="109" t="s">
        <v>346</v>
      </c>
      <c r="C302" s="109">
        <v>100</v>
      </c>
      <c r="M302" s="7"/>
    </row>
    <row r="303" spans="1:13" hidden="1" outlineLevel="1" x14ac:dyDescent="0.25">
      <c r="B303" s="109" t="s">
        <v>345</v>
      </c>
      <c r="C303" s="109">
        <v>80</v>
      </c>
      <c r="M303" s="7"/>
    </row>
    <row r="304" spans="1:13" hidden="1" outlineLevel="1" x14ac:dyDescent="0.25">
      <c r="B304" s="109" t="s">
        <v>303</v>
      </c>
      <c r="C304" s="109">
        <v>50</v>
      </c>
      <c r="M304" s="7"/>
    </row>
    <row r="305" spans="1:13" hidden="1" outlineLevel="1" x14ac:dyDescent="0.25">
      <c r="B305" s="109" t="s">
        <v>20</v>
      </c>
      <c r="C305" s="109">
        <v>0</v>
      </c>
      <c r="M305" s="7"/>
    </row>
    <row r="306" spans="1:13" hidden="1" outlineLevel="1" x14ac:dyDescent="0.25">
      <c r="B306" s="109" t="s">
        <v>13</v>
      </c>
      <c r="C306" s="109">
        <v>0</v>
      </c>
      <c r="M306" s="7"/>
    </row>
    <row r="307" spans="1:13" hidden="1" outlineLevel="1" x14ac:dyDescent="0.25">
      <c r="B307" s="109" t="s">
        <v>35</v>
      </c>
      <c r="C307" s="109">
        <v>-1</v>
      </c>
      <c r="G307" s="30"/>
      <c r="M307" s="7"/>
    </row>
    <row r="308" spans="1:13" hidden="1" outlineLevel="1" x14ac:dyDescent="0.25">
      <c r="B308" s="109"/>
      <c r="C308" s="109"/>
      <c r="G308" s="30"/>
      <c r="M308" s="7"/>
    </row>
    <row r="309" spans="1:13" ht="30" collapsed="1" x14ac:dyDescent="0.25">
      <c r="A309" s="12" t="s">
        <v>317</v>
      </c>
      <c r="B309" s="7" t="s">
        <v>288</v>
      </c>
      <c r="C309" s="101"/>
      <c r="D309" s="111"/>
      <c r="E309" s="7">
        <f>IF($D309="N/A",0,1)</f>
        <v>1</v>
      </c>
      <c r="F309" s="30">
        <v>0.2</v>
      </c>
      <c r="G309" s="30">
        <f>IF(E309,F309*SUM($F$267,$F$277,$F$289,$F$299,$F$309,)/($E$267*$F$267+$E$277*$F$277+$E$289*$F$289+$E$299*$F$299+$E$309*$F$309),0)</f>
        <v>0.2</v>
      </c>
      <c r="J309" s="7">
        <f>IF(ISBLANK($D$309),0,VLOOKUP($D$309,$B$312:$C$316,2,0))</f>
        <v>0</v>
      </c>
      <c r="K309" s="7">
        <f>J309*G309</f>
        <v>0</v>
      </c>
      <c r="L309" s="7">
        <f>IF(ISBLANK(D309),0,IF(D309="Unknown",100*G309,J309*G309))</f>
        <v>0</v>
      </c>
      <c r="M309" s="63" t="str">
        <f>IF(D309=B314,"X",IF(D309=B315,"??",IF(D309=""," ",IF(D309=B316,"N/A",IF(D309=B313,"X","V")))))</f>
        <v xml:space="preserve"> </v>
      </c>
    </row>
    <row r="310" spans="1:13" hidden="1" outlineLevel="1" x14ac:dyDescent="0.25"/>
    <row r="311" spans="1:13" hidden="1" outlineLevel="1" x14ac:dyDescent="0.25">
      <c r="A311" s="15"/>
      <c r="B311" s="108" t="s">
        <v>15</v>
      </c>
      <c r="C311" s="108"/>
      <c r="D311" s="11"/>
      <c r="E311" s="11"/>
      <c r="F311" s="11"/>
      <c r="G311" s="11"/>
      <c r="H311" s="11"/>
      <c r="I311" s="11"/>
      <c r="J311" s="11"/>
      <c r="K311" s="11"/>
      <c r="L311" s="11"/>
      <c r="M311" s="65"/>
    </row>
    <row r="312" spans="1:13" hidden="1" outlineLevel="1" x14ac:dyDescent="0.25">
      <c r="B312" s="109" t="s">
        <v>19</v>
      </c>
      <c r="C312" s="109">
        <v>100</v>
      </c>
    </row>
    <row r="313" spans="1:13" hidden="1" outlineLevel="1" x14ac:dyDescent="0.25">
      <c r="B313" s="109" t="s">
        <v>386</v>
      </c>
      <c r="C313" s="109">
        <v>50</v>
      </c>
    </row>
    <row r="314" spans="1:13" hidden="1" outlineLevel="1" x14ac:dyDescent="0.25">
      <c r="B314" s="109" t="s">
        <v>20</v>
      </c>
      <c r="C314" s="109">
        <v>0</v>
      </c>
    </row>
    <row r="315" spans="1:13" hidden="1" outlineLevel="1" x14ac:dyDescent="0.25">
      <c r="B315" s="109" t="s">
        <v>13</v>
      </c>
      <c r="C315" s="109">
        <v>0</v>
      </c>
    </row>
    <row r="316" spans="1:13" hidden="1" outlineLevel="1" x14ac:dyDescent="0.25">
      <c r="B316" s="109" t="s">
        <v>35</v>
      </c>
      <c r="C316" s="109">
        <v>-1</v>
      </c>
    </row>
    <row r="317" spans="1:13" hidden="1" outlineLevel="1" x14ac:dyDescent="0.25"/>
    <row r="318" spans="1:13" hidden="1" outlineLevel="1" x14ac:dyDescent="0.25"/>
    <row r="319" spans="1:13" x14ac:dyDescent="0.25">
      <c r="A319" s="13">
        <v>3</v>
      </c>
      <c r="B319" s="9" t="s">
        <v>68</v>
      </c>
      <c r="C319" s="9"/>
      <c r="D319" s="9"/>
      <c r="E319" s="9"/>
      <c r="F319" s="9"/>
      <c r="G319" s="9"/>
      <c r="H319" s="33">
        <f>(H320+H351+H372+H431)</f>
        <v>1</v>
      </c>
      <c r="I319" s="33">
        <f>(I320+I351+I372+I431)</f>
        <v>1</v>
      </c>
      <c r="J319" s="33"/>
      <c r="K319" s="33">
        <f>(K320+K351+K372+K431)</f>
        <v>0</v>
      </c>
      <c r="L319" s="33">
        <f>(L320+L351+L372+L431)</f>
        <v>0</v>
      </c>
      <c r="M319" s="62"/>
    </row>
    <row r="320" spans="1:13" x14ac:dyDescent="0.25">
      <c r="A320" s="14" t="s">
        <v>69</v>
      </c>
      <c r="B320" s="10" t="s">
        <v>70</v>
      </c>
      <c r="C320" s="10"/>
      <c r="D320" s="10"/>
      <c r="E320" s="10">
        <f>IF(AND($D$321="N/A",$D$331="N/A",$D$342="N/A"),0,1)</f>
        <v>1</v>
      </c>
      <c r="F320" s="31">
        <f>(F321+F331+F342)</f>
        <v>1</v>
      </c>
      <c r="G320" s="31">
        <f>(G321+G331+G342)</f>
        <v>1</v>
      </c>
      <c r="H320" s="31">
        <v>0.23</v>
      </c>
      <c r="I320" s="31">
        <f>IF(E320,H320*SUM($H$320,$H$351,$H$372,$H$431,)/($E$320*$H$320+$E$351*$H$351+$E$372*$H$372+$E$431*$H$431),0)</f>
        <v>0.23</v>
      </c>
      <c r="J320" s="31"/>
      <c r="K320" s="31">
        <f>(K321+K331+K342)*I320/100</f>
        <v>0</v>
      </c>
      <c r="L320" s="31">
        <f>(L321+L331)*I320/100</f>
        <v>0</v>
      </c>
      <c r="M320" s="64"/>
    </row>
    <row r="321" spans="1:13" collapsed="1" x14ac:dyDescent="0.25">
      <c r="A321" s="12" t="s">
        <v>71</v>
      </c>
      <c r="B321" s="7" t="s">
        <v>72</v>
      </c>
      <c r="C321" s="101"/>
      <c r="D321" s="111"/>
      <c r="E321" s="7">
        <f>IF($D321="N/A",0,1)</f>
        <v>1</v>
      </c>
      <c r="F321" s="30">
        <v>0.33333333333333337</v>
      </c>
      <c r="G321" s="30">
        <f>IF(E321,F321*SUM($F$321,$F$331,F$342)/($E$321*$F$321+$E$331*$F$331+$E$342*$F$342),0)</f>
        <v>0.33333333333333337</v>
      </c>
      <c r="J321" s="7">
        <f>IF(ISBLANK($D$321),0,VLOOKUP($D$321,$B$327:$C$329,2,0))</f>
        <v>0</v>
      </c>
      <c r="K321" s="7">
        <f>J321*G321</f>
        <v>0</v>
      </c>
      <c r="L321" s="7">
        <f>IF(ISBLANK(D321),0,IF(D321="Unknown",100*G321,J321*G321))</f>
        <v>0</v>
      </c>
      <c r="M321" s="120" t="s">
        <v>35</v>
      </c>
    </row>
    <row r="322" spans="1:13" hidden="1" outlineLevel="1" x14ac:dyDescent="0.25"/>
    <row r="323" spans="1:13" hidden="1" outlineLevel="1" x14ac:dyDescent="0.25">
      <c r="A323" s="15"/>
      <c r="B323" s="108" t="s">
        <v>16</v>
      </c>
      <c r="C323" s="108"/>
      <c r="D323" s="11"/>
      <c r="E323" s="11"/>
      <c r="F323" s="11"/>
      <c r="G323" s="11"/>
      <c r="H323" s="11"/>
      <c r="I323" s="11"/>
      <c r="J323" s="11"/>
      <c r="K323" s="11"/>
      <c r="L323" s="11"/>
      <c r="M323" s="65"/>
    </row>
    <row r="324" spans="1:13" ht="30" hidden="1" outlineLevel="1" x14ac:dyDescent="0.25">
      <c r="B324" s="109" t="s">
        <v>73</v>
      </c>
      <c r="C324" s="109"/>
    </row>
    <row r="325" spans="1:13" hidden="1" outlineLevel="1" x14ac:dyDescent="0.25">
      <c r="B325" s="109"/>
      <c r="C325" s="109"/>
    </row>
    <row r="326" spans="1:13" hidden="1" outlineLevel="1" x14ac:dyDescent="0.25">
      <c r="A326" s="15"/>
      <c r="B326" s="108" t="s">
        <v>15</v>
      </c>
      <c r="C326" s="108"/>
      <c r="D326" s="11"/>
      <c r="E326" s="11"/>
      <c r="F326" s="11"/>
      <c r="G326" s="11"/>
      <c r="H326" s="11"/>
      <c r="I326" s="11"/>
      <c r="J326" s="11"/>
      <c r="K326" s="11"/>
      <c r="L326" s="11"/>
      <c r="M326" s="65"/>
    </row>
    <row r="327" spans="1:13" hidden="1" outlineLevel="1" x14ac:dyDescent="0.25">
      <c r="B327" s="109" t="s">
        <v>19</v>
      </c>
      <c r="C327" s="109">
        <v>100</v>
      </c>
    </row>
    <row r="328" spans="1:13" hidden="1" outlineLevel="1" x14ac:dyDescent="0.25">
      <c r="B328" s="109" t="s">
        <v>20</v>
      </c>
      <c r="C328" s="109">
        <v>0</v>
      </c>
    </row>
    <row r="329" spans="1:13" hidden="1" outlineLevel="1" x14ac:dyDescent="0.25">
      <c r="B329" s="109" t="s">
        <v>13</v>
      </c>
      <c r="C329" s="109">
        <v>0</v>
      </c>
    </row>
    <row r="330" spans="1:13" hidden="1" outlineLevel="1" x14ac:dyDescent="0.25"/>
    <row r="331" spans="1:13" ht="45" collapsed="1" x14ac:dyDescent="0.25">
      <c r="A331" s="12" t="s">
        <v>74</v>
      </c>
      <c r="B331" s="7" t="s">
        <v>162</v>
      </c>
      <c r="C331" s="101"/>
      <c r="D331" s="111"/>
      <c r="E331" s="7">
        <f>IF($D$331="N/A",0,1)</f>
        <v>1</v>
      </c>
      <c r="F331" s="30">
        <v>0.33333333333333337</v>
      </c>
      <c r="G331" s="30">
        <f>IF(E331,F331*SUM($F$321,$F$331,F$342)/($E$321*$F$321+$E$331*$F$331+$E$342*$F$342),0)</f>
        <v>0.33333333333333337</v>
      </c>
      <c r="J331" s="7">
        <f>IF(ISBLANK($D$331),0,VLOOKUP($D$331,$B$337:$C$340,2,0))</f>
        <v>0</v>
      </c>
      <c r="K331" s="7">
        <f>J331*G331</f>
        <v>0</v>
      </c>
      <c r="L331" s="7">
        <f>IF(ISBLANK(D331),0,IF(D331="Unknown",100*G331,J331*G331))</f>
        <v>0</v>
      </c>
      <c r="M331" s="63" t="str">
        <f>IF(D331=B338,"X",IF(D331=B339,"??",IF(D331=""," ",IF(D331=B340,"N/A","V"))))</f>
        <v xml:space="preserve"> </v>
      </c>
    </row>
    <row r="332" spans="1:13" hidden="1" outlineLevel="1" x14ac:dyDescent="0.25"/>
    <row r="333" spans="1:13" hidden="1" outlineLevel="1" x14ac:dyDescent="0.25">
      <c r="A333" s="15"/>
      <c r="B333" s="108" t="s">
        <v>16</v>
      </c>
      <c r="C333" s="108"/>
      <c r="D333" s="11"/>
      <c r="E333" s="11"/>
      <c r="F333" s="11"/>
      <c r="G333" s="11"/>
      <c r="H333" s="11"/>
      <c r="I333" s="11"/>
      <c r="J333" s="11"/>
      <c r="K333" s="11"/>
      <c r="L333" s="11"/>
      <c r="M333" s="65"/>
    </row>
    <row r="334" spans="1:13" hidden="1" outlineLevel="1" x14ac:dyDescent="0.25">
      <c r="B334" s="109" t="s">
        <v>75</v>
      </c>
      <c r="C334" s="109"/>
    </row>
    <row r="335" spans="1:13" hidden="1" outlineLevel="1" x14ac:dyDescent="0.25">
      <c r="B335" s="109"/>
      <c r="C335" s="109"/>
    </row>
    <row r="336" spans="1:13" hidden="1" outlineLevel="1" x14ac:dyDescent="0.25">
      <c r="A336" s="15"/>
      <c r="B336" s="108" t="s">
        <v>15</v>
      </c>
      <c r="C336" s="108"/>
      <c r="D336" s="11"/>
      <c r="E336" s="11"/>
      <c r="F336" s="11"/>
      <c r="G336" s="11"/>
      <c r="H336" s="11"/>
      <c r="I336" s="11"/>
      <c r="J336" s="11"/>
      <c r="K336" s="11"/>
      <c r="L336" s="11"/>
      <c r="M336" s="65"/>
    </row>
    <row r="337" spans="1:13" hidden="1" outlineLevel="1" x14ac:dyDescent="0.25">
      <c r="B337" s="109" t="s">
        <v>19</v>
      </c>
      <c r="C337" s="109">
        <v>100</v>
      </c>
    </row>
    <row r="338" spans="1:13" hidden="1" outlineLevel="1" x14ac:dyDescent="0.25">
      <c r="B338" s="109" t="s">
        <v>20</v>
      </c>
      <c r="C338" s="109">
        <v>0</v>
      </c>
    </row>
    <row r="339" spans="1:13" hidden="1" outlineLevel="1" x14ac:dyDescent="0.25">
      <c r="B339" s="109" t="s">
        <v>13</v>
      </c>
      <c r="C339" s="109">
        <v>0</v>
      </c>
    </row>
    <row r="340" spans="1:13" hidden="1" outlineLevel="1" x14ac:dyDescent="0.25">
      <c r="B340" s="109" t="s">
        <v>35</v>
      </c>
      <c r="C340" s="109">
        <v>-1</v>
      </c>
    </row>
    <row r="341" spans="1:13" hidden="1" outlineLevel="1" x14ac:dyDescent="0.25">
      <c r="B341" s="109"/>
      <c r="C341" s="109"/>
    </row>
    <row r="342" spans="1:13" collapsed="1" x14ac:dyDescent="0.25">
      <c r="A342" s="12" t="s">
        <v>323</v>
      </c>
      <c r="B342" s="101" t="s">
        <v>273</v>
      </c>
      <c r="C342" s="101"/>
      <c r="D342" s="111"/>
      <c r="E342" s="7">
        <f>IF($D$331="N/A",0,1)</f>
        <v>1</v>
      </c>
      <c r="F342" s="30">
        <v>0.33333333333333337</v>
      </c>
      <c r="G342" s="30">
        <f>IF(E342,F342*SUM($F$321,$F$331,F$342)/($E$321*$F$321+$E$331*$F$331+$E$342*$F$342),0)</f>
        <v>0.33333333333333337</v>
      </c>
      <c r="J342" s="7">
        <f>IF(ISBLANK($D$342),0,VLOOKUP($D$342,$B$345:$C$349,2,0))</f>
        <v>0</v>
      </c>
      <c r="K342" s="7">
        <f>J342*G342</f>
        <v>0</v>
      </c>
      <c r="L342" s="7">
        <f>IF(ISBLANK(D342),0,IF(D342="Unknown",100*G342,J342*G342))</f>
        <v>0</v>
      </c>
      <c r="M342" s="63" t="str">
        <f>IF(D342=B347,"X",IF(D342=B346,"V",IF(D342=""," ",IF(D342=B349,"N/A",IF(D342=B345,"V",IF(D342=B348,"??"," "))))))</f>
        <v xml:space="preserve"> </v>
      </c>
    </row>
    <row r="343" spans="1:13" hidden="1" outlineLevel="1" x14ac:dyDescent="0.25">
      <c r="G343" s="30"/>
    </row>
    <row r="344" spans="1:13" hidden="1" outlineLevel="1" x14ac:dyDescent="0.25">
      <c r="A344" s="15"/>
      <c r="B344" s="108" t="s">
        <v>15</v>
      </c>
      <c r="C344" s="108"/>
      <c r="D344" s="11"/>
      <c r="E344" s="11"/>
      <c r="F344" s="11"/>
      <c r="G344" s="11"/>
      <c r="H344" s="11"/>
      <c r="I344" s="11"/>
      <c r="J344" s="11"/>
      <c r="K344" s="11"/>
      <c r="L344" s="11"/>
      <c r="M344" s="65"/>
    </row>
    <row r="345" spans="1:13" hidden="1" outlineLevel="1" x14ac:dyDescent="0.25">
      <c r="B345" s="115" t="s">
        <v>275</v>
      </c>
      <c r="C345" s="109">
        <v>50</v>
      </c>
      <c r="G345" s="30"/>
    </row>
    <row r="346" spans="1:13" hidden="1" outlineLevel="1" x14ac:dyDescent="0.25">
      <c r="B346" s="115" t="s">
        <v>274</v>
      </c>
      <c r="C346" s="109">
        <v>0</v>
      </c>
      <c r="G346" s="30"/>
    </row>
    <row r="347" spans="1:13" hidden="1" outlineLevel="1" x14ac:dyDescent="0.25">
      <c r="B347" s="115" t="s">
        <v>20</v>
      </c>
      <c r="C347" s="109">
        <v>100</v>
      </c>
      <c r="G347" s="30"/>
    </row>
    <row r="348" spans="1:13" hidden="1" outlineLevel="1" x14ac:dyDescent="0.25">
      <c r="B348" s="115" t="s">
        <v>13</v>
      </c>
      <c r="C348" s="109">
        <v>0</v>
      </c>
      <c r="G348" s="30"/>
    </row>
    <row r="349" spans="1:13" hidden="1" outlineLevel="1" x14ac:dyDescent="0.25">
      <c r="B349" s="109" t="s">
        <v>35</v>
      </c>
      <c r="C349" s="109">
        <v>-1</v>
      </c>
      <c r="G349" s="30"/>
    </row>
    <row r="350" spans="1:13" hidden="1" outlineLevel="1" x14ac:dyDescent="0.25">
      <c r="G350" s="30"/>
    </row>
    <row r="351" spans="1:13" x14ac:dyDescent="0.25">
      <c r="A351" s="14" t="s">
        <v>76</v>
      </c>
      <c r="B351" s="10" t="s">
        <v>77</v>
      </c>
      <c r="C351" s="10"/>
      <c r="D351" s="10"/>
      <c r="E351" s="17">
        <f>IF(AND($D$352="N/A",$D$363="N/A"),0,1)</f>
        <v>1</v>
      </c>
      <c r="F351" s="31">
        <f>(F352+F363)</f>
        <v>1</v>
      </c>
      <c r="G351" s="31">
        <f>(G352+G363)</f>
        <v>1</v>
      </c>
      <c r="H351" s="31">
        <v>0.23</v>
      </c>
      <c r="I351" s="31">
        <f>IF(E351,H351*SUM($H$320,$H$351,$H$372,$H$431,)/($E$320*$H$320+$E$351*$H$351+$E$372*$H$372+$E$431*$H$431),0)</f>
        <v>0.23</v>
      </c>
      <c r="J351" s="31"/>
      <c r="K351" s="31">
        <f>(K352+K363)*I351/100</f>
        <v>0</v>
      </c>
      <c r="L351" s="31">
        <f>(L352+L363)*I351/100</f>
        <v>0</v>
      </c>
      <c r="M351" s="64"/>
    </row>
    <row r="352" spans="1:13" collapsed="1" x14ac:dyDescent="0.25">
      <c r="A352" s="12" t="s">
        <v>78</v>
      </c>
      <c r="B352" s="18" t="s">
        <v>79</v>
      </c>
      <c r="C352" s="101"/>
      <c r="D352" s="111"/>
      <c r="E352" s="7">
        <f>IF($D352="N/A",0,1)</f>
        <v>1</v>
      </c>
      <c r="F352" s="30">
        <v>0.3</v>
      </c>
      <c r="G352" s="30">
        <f>IF(E352,F352*SUM($F$352,$F$363,)/($E$352*$F$352+$E$363*$F$363),0)</f>
        <v>0.3</v>
      </c>
      <c r="J352" s="7">
        <f>IF(ISBLANK($D$352),0,VLOOKUP($D$352,$B$358:$C$361,2,0))</f>
        <v>0</v>
      </c>
      <c r="K352" s="7">
        <f>J352*G352</f>
        <v>0</v>
      </c>
      <c r="L352" s="7">
        <f>IF(ISBLANK(D352),0,IF(D352="Unknown",100*G352,J352*G352))</f>
        <v>0</v>
      </c>
      <c r="M352" s="120" t="s">
        <v>35</v>
      </c>
    </row>
    <row r="353" spans="1:13" hidden="1" outlineLevel="1" x14ac:dyDescent="0.25"/>
    <row r="354" spans="1:13" hidden="1" outlineLevel="1" x14ac:dyDescent="0.25">
      <c r="A354" s="15"/>
      <c r="B354" s="108" t="s">
        <v>16</v>
      </c>
      <c r="C354" s="108"/>
      <c r="D354" s="11"/>
      <c r="E354" s="11"/>
      <c r="F354" s="11"/>
      <c r="G354" s="11"/>
      <c r="H354" s="11"/>
      <c r="I354" s="11"/>
      <c r="J354" s="11"/>
      <c r="K354" s="11"/>
      <c r="L354" s="11"/>
      <c r="M354" s="65"/>
    </row>
    <row r="355" spans="1:13" hidden="1" outlineLevel="1" x14ac:dyDescent="0.25">
      <c r="B355" s="109" t="s">
        <v>80</v>
      </c>
      <c r="C355" s="109"/>
    </row>
    <row r="356" spans="1:13" hidden="1" outlineLevel="1" x14ac:dyDescent="0.25">
      <c r="B356" s="109"/>
      <c r="C356" s="109"/>
    </row>
    <row r="357" spans="1:13" hidden="1" outlineLevel="1" x14ac:dyDescent="0.25">
      <c r="A357" s="15"/>
      <c r="B357" s="108" t="s">
        <v>15</v>
      </c>
      <c r="C357" s="108"/>
      <c r="D357" s="11"/>
      <c r="E357" s="11"/>
      <c r="F357" s="11"/>
      <c r="G357" s="11"/>
      <c r="H357" s="11"/>
      <c r="I357" s="11"/>
      <c r="J357" s="11"/>
      <c r="K357" s="11"/>
      <c r="L357" s="11"/>
      <c r="M357" s="65"/>
    </row>
    <row r="358" spans="1:13" hidden="1" outlineLevel="1" x14ac:dyDescent="0.25">
      <c r="B358" s="109" t="s">
        <v>19</v>
      </c>
      <c r="C358" s="109">
        <v>100</v>
      </c>
    </row>
    <row r="359" spans="1:13" hidden="1" outlineLevel="1" x14ac:dyDescent="0.25">
      <c r="B359" s="109" t="s">
        <v>20</v>
      </c>
      <c r="C359" s="109">
        <v>0</v>
      </c>
    </row>
    <row r="360" spans="1:13" hidden="1" outlineLevel="1" x14ac:dyDescent="0.25">
      <c r="B360" s="109" t="s">
        <v>13</v>
      </c>
      <c r="C360" s="109">
        <v>0</v>
      </c>
    </row>
    <row r="361" spans="1:13" hidden="1" outlineLevel="1" x14ac:dyDescent="0.25">
      <c r="B361" s="109" t="s">
        <v>35</v>
      </c>
      <c r="C361" s="109">
        <v>-1</v>
      </c>
    </row>
    <row r="362" spans="1:13" hidden="1" outlineLevel="1" x14ac:dyDescent="0.25"/>
    <row r="363" spans="1:13" collapsed="1" x14ac:dyDescent="0.25">
      <c r="A363" s="12" t="s">
        <v>81</v>
      </c>
      <c r="B363" s="18" t="s">
        <v>325</v>
      </c>
      <c r="C363" s="101"/>
      <c r="D363" s="111"/>
      <c r="E363" s="7">
        <f>IF($D363="N/A",0,1)</f>
        <v>1</v>
      </c>
      <c r="F363" s="30">
        <v>0.7</v>
      </c>
      <c r="G363" s="30">
        <f>IF(E363,F363*SUM($F$352,$F$363,)/($E$352*$F$352+$E$363*$F$363),0)</f>
        <v>0.7</v>
      </c>
      <c r="J363" s="7">
        <f>IF(ISBLANK($D$363),0,VLOOKUP($D$363,$B$366:$C$370,2,0))</f>
        <v>0</v>
      </c>
      <c r="K363" s="7">
        <f>J363*G363</f>
        <v>0</v>
      </c>
      <c r="L363" s="7">
        <f>IF(ISBLANK(D363),0,IF(D363="Unknown",100*G363,J363*G363))</f>
        <v>0</v>
      </c>
      <c r="M363" s="63" t="str">
        <f>IF(D363=B366,"V",IF(D363=B369,"??",IF(D363=B370,"N/A",IF(D363=""," ","X"))))</f>
        <v xml:space="preserve"> </v>
      </c>
    </row>
    <row r="364" spans="1:13" hidden="1" outlineLevel="1" x14ac:dyDescent="0.25">
      <c r="B364" s="109"/>
      <c r="C364" s="109"/>
    </row>
    <row r="365" spans="1:13" hidden="1" outlineLevel="1" x14ac:dyDescent="0.25">
      <c r="A365" s="15"/>
      <c r="B365" s="108" t="s">
        <v>15</v>
      </c>
      <c r="C365" s="108"/>
      <c r="D365" s="11"/>
      <c r="E365" s="11"/>
      <c r="F365" s="11"/>
      <c r="G365" s="11"/>
      <c r="H365" s="11"/>
      <c r="I365" s="11"/>
      <c r="J365" s="11"/>
      <c r="K365" s="11"/>
      <c r="L365" s="11"/>
      <c r="M365" s="65"/>
    </row>
    <row r="366" spans="1:13" ht="30" hidden="1" outlineLevel="1" x14ac:dyDescent="0.25">
      <c r="B366" s="109" t="s">
        <v>348</v>
      </c>
      <c r="C366" s="109">
        <v>100</v>
      </c>
    </row>
    <row r="367" spans="1:13" ht="30" hidden="1" outlineLevel="1" x14ac:dyDescent="0.25">
      <c r="B367" s="109" t="s">
        <v>387</v>
      </c>
      <c r="C367" s="109">
        <v>50</v>
      </c>
    </row>
    <row r="368" spans="1:13" hidden="1" outlineLevel="1" x14ac:dyDescent="0.25">
      <c r="B368" s="109" t="s">
        <v>20</v>
      </c>
      <c r="C368" s="109">
        <v>0</v>
      </c>
    </row>
    <row r="369" spans="1:13" hidden="1" outlineLevel="1" x14ac:dyDescent="0.25">
      <c r="B369" s="109" t="s">
        <v>13</v>
      </c>
      <c r="C369" s="109">
        <v>0</v>
      </c>
    </row>
    <row r="370" spans="1:13" hidden="1" outlineLevel="1" x14ac:dyDescent="0.25">
      <c r="B370" s="109" t="s">
        <v>35</v>
      </c>
      <c r="C370" s="109">
        <v>-1</v>
      </c>
    </row>
    <row r="371" spans="1:13" hidden="1" outlineLevel="1" x14ac:dyDescent="0.25"/>
    <row r="372" spans="1:13" x14ac:dyDescent="0.25">
      <c r="A372" s="14" t="s">
        <v>82</v>
      </c>
      <c r="B372" s="10" t="s">
        <v>83</v>
      </c>
      <c r="C372" s="10"/>
      <c r="D372" s="10"/>
      <c r="E372" s="17">
        <f>IF(AND($D$373="N/A",$D$384="N/A",$D$397="N/A",$D$408="N/A",$D$420="N/A"),0,1)</f>
        <v>1</v>
      </c>
      <c r="F372" s="31">
        <f>(F373+F384+F397+F408+F420)</f>
        <v>1</v>
      </c>
      <c r="G372" s="31">
        <f>(G373+G384+G397+G408+G420)</f>
        <v>1</v>
      </c>
      <c r="H372" s="31">
        <v>0.24</v>
      </c>
      <c r="I372" s="31">
        <f>IF(E372,H372*SUM($H$320,$H$351,$H$372,$H$431,)/($E$320*$H$320+$E$351*$H$351+$E$372*$H$372+$E$431*$H$431),0)</f>
        <v>0.24</v>
      </c>
      <c r="J372" s="31"/>
      <c r="K372" s="31">
        <f>(K373+K384+K397+K408+K420)*I372/100</f>
        <v>0</v>
      </c>
      <c r="L372" s="31">
        <f>(L373+L384+L397+L408+L420)*I372/100</f>
        <v>0</v>
      </c>
      <c r="M372" s="64"/>
    </row>
    <row r="373" spans="1:13" ht="30" collapsed="1" x14ac:dyDescent="0.25">
      <c r="A373" s="12" t="s">
        <v>84</v>
      </c>
      <c r="B373" s="7" t="s">
        <v>85</v>
      </c>
      <c r="C373" s="101"/>
      <c r="D373" s="111"/>
      <c r="E373" s="7">
        <f>IF($D373="N/A",0,1)</f>
        <v>1</v>
      </c>
      <c r="F373" s="30">
        <v>0.18</v>
      </c>
      <c r="G373" s="30">
        <f>IF(E373,F373*SUM($F$373,$F$384,$F$397,$F$408,$F$420,)/($E$373*$F$373+$E$384*$F$384+$E$397*$F$397+$E$408*$F$408+$E$420*$F$420),0)</f>
        <v>0.18</v>
      </c>
      <c r="J373" s="7">
        <f>IF(ISBLANK($D$373),0,VLOOKUP($D$373,$B$379:$C$382,2,0))</f>
        <v>0</v>
      </c>
      <c r="K373" s="7">
        <f>J373*G373</f>
        <v>0</v>
      </c>
      <c r="L373" s="7">
        <f>IF(ISBLANK(D373),0,IF(D373="Unknown",100*G373,J373*G373))</f>
        <v>0</v>
      </c>
      <c r="M373" s="63" t="str">
        <f>IF(D373=B379,"V",IF(D373=B380,"X",IF(D373=B382,"N/A",IF(D373=B381,"??", " "))))</f>
        <v xml:space="preserve"> </v>
      </c>
    </row>
    <row r="374" spans="1:13" hidden="1" outlineLevel="1" x14ac:dyDescent="0.25">
      <c r="G374" s="30"/>
    </row>
    <row r="375" spans="1:13" hidden="1" outlineLevel="1" x14ac:dyDescent="0.25">
      <c r="A375" s="15"/>
      <c r="B375" s="108" t="s">
        <v>16</v>
      </c>
      <c r="C375" s="108"/>
      <c r="D375" s="11"/>
      <c r="E375" s="11"/>
      <c r="F375" s="11"/>
      <c r="G375" s="11"/>
      <c r="H375" s="11"/>
      <c r="I375" s="11"/>
      <c r="J375" s="11"/>
      <c r="K375" s="11"/>
      <c r="L375" s="11"/>
      <c r="M375" s="65"/>
    </row>
    <row r="376" spans="1:13" hidden="1" outlineLevel="1" x14ac:dyDescent="0.25">
      <c r="B376" s="109" t="s">
        <v>86</v>
      </c>
      <c r="C376" s="109"/>
      <c r="G376" s="30"/>
    </row>
    <row r="377" spans="1:13" hidden="1" outlineLevel="1" x14ac:dyDescent="0.25">
      <c r="B377" s="109"/>
      <c r="C377" s="109"/>
      <c r="G377" s="30"/>
    </row>
    <row r="378" spans="1:13" hidden="1" outlineLevel="1" x14ac:dyDescent="0.25">
      <c r="A378" s="15"/>
      <c r="B378" s="108" t="s">
        <v>15</v>
      </c>
      <c r="C378" s="108"/>
      <c r="D378" s="11"/>
      <c r="E378" s="11"/>
      <c r="F378" s="11"/>
      <c r="G378" s="11"/>
      <c r="H378" s="11"/>
      <c r="I378" s="11"/>
      <c r="J378" s="11"/>
      <c r="K378" s="11"/>
      <c r="L378" s="11"/>
      <c r="M378" s="65"/>
    </row>
    <row r="379" spans="1:13" hidden="1" outlineLevel="1" x14ac:dyDescent="0.25">
      <c r="B379" s="109" t="s">
        <v>19</v>
      </c>
      <c r="C379" s="109">
        <v>100</v>
      </c>
      <c r="G379" s="30"/>
    </row>
    <row r="380" spans="1:13" hidden="1" outlineLevel="1" x14ac:dyDescent="0.25">
      <c r="B380" s="109" t="s">
        <v>20</v>
      </c>
      <c r="C380" s="109">
        <v>0</v>
      </c>
      <c r="G380" s="30"/>
    </row>
    <row r="381" spans="1:13" hidden="1" outlineLevel="1" x14ac:dyDescent="0.25">
      <c r="B381" s="109" t="s">
        <v>13</v>
      </c>
      <c r="C381" s="109">
        <v>0</v>
      </c>
      <c r="G381" s="30"/>
    </row>
    <row r="382" spans="1:13" hidden="1" outlineLevel="1" x14ac:dyDescent="0.25">
      <c r="B382" s="109" t="s">
        <v>35</v>
      </c>
      <c r="C382" s="109">
        <v>-1</v>
      </c>
      <c r="G382" s="30"/>
    </row>
    <row r="383" spans="1:13" hidden="1" outlineLevel="1" x14ac:dyDescent="0.25">
      <c r="G383" s="30"/>
    </row>
    <row r="384" spans="1:13" ht="30" collapsed="1" x14ac:dyDescent="0.25">
      <c r="A384" s="12" t="s">
        <v>87</v>
      </c>
      <c r="B384" s="7" t="s">
        <v>253</v>
      </c>
      <c r="C384" s="101"/>
      <c r="D384" s="111"/>
      <c r="E384" s="7">
        <f>IF($D384="N/A",0,1)</f>
        <v>1</v>
      </c>
      <c r="F384" s="30">
        <v>0.28000000000000003</v>
      </c>
      <c r="G384" s="30">
        <f>IF(E384,F384*SUM($F$373,$F$384,$F$397,$F$408,$F$420,)/($E$373*$F$373+$E$384*$F$384+$E$397*$F$397+$E$408*$F$408+$E$420*$F$420),0)</f>
        <v>0.28000000000000003</v>
      </c>
      <c r="J384" s="7">
        <f>IF(ISBLANK($D$384),0,VLOOKUP($D$384,$B$392:$C$395,2,0))</f>
        <v>0</v>
      </c>
      <c r="K384" s="7">
        <f>J384*G384</f>
        <v>0</v>
      </c>
      <c r="L384" s="7">
        <f>IF(ISBLANK(D384),0,IF(D384="Unknown",100*G384,J384*G384))</f>
        <v>0</v>
      </c>
      <c r="M384" s="63" t="str">
        <f>IF(D384=B392,"V",IF(D384=B393,"X",IF(D384=B395,"N/A",IF(D384=B394,"??", " "))))</f>
        <v xml:space="preserve"> </v>
      </c>
    </row>
    <row r="385" spans="1:13" hidden="1" outlineLevel="1" x14ac:dyDescent="0.25">
      <c r="G385" s="30"/>
    </row>
    <row r="386" spans="1:13" hidden="1" outlineLevel="1" x14ac:dyDescent="0.25">
      <c r="A386" s="15"/>
      <c r="B386" s="108" t="s">
        <v>16</v>
      </c>
      <c r="C386" s="108"/>
      <c r="D386" s="11"/>
      <c r="E386" s="11"/>
      <c r="F386" s="11"/>
      <c r="G386" s="11"/>
      <c r="H386" s="11"/>
      <c r="I386" s="11"/>
      <c r="J386" s="11"/>
      <c r="K386" s="11"/>
      <c r="L386" s="11"/>
      <c r="M386" s="65"/>
    </row>
    <row r="387" spans="1:13" ht="30" hidden="1" outlineLevel="1" x14ac:dyDescent="0.25">
      <c r="B387" s="109" t="s">
        <v>201</v>
      </c>
      <c r="C387" s="109"/>
      <c r="G387" s="30"/>
    </row>
    <row r="388" spans="1:13" hidden="1" outlineLevel="1" x14ac:dyDescent="0.25">
      <c r="B388" s="109" t="s">
        <v>89</v>
      </c>
      <c r="C388" s="109"/>
      <c r="G388" s="30"/>
    </row>
    <row r="389" spans="1:13" hidden="1" outlineLevel="1" x14ac:dyDescent="0.25">
      <c r="B389" s="109" t="s">
        <v>88</v>
      </c>
      <c r="C389" s="109"/>
      <c r="G389" s="30"/>
    </row>
    <row r="390" spans="1:13" hidden="1" outlineLevel="1" x14ac:dyDescent="0.25">
      <c r="B390" s="109"/>
      <c r="C390" s="109"/>
      <c r="G390" s="30"/>
    </row>
    <row r="391" spans="1:13" hidden="1" outlineLevel="1" x14ac:dyDescent="0.25">
      <c r="A391" s="15"/>
      <c r="B391" s="108" t="s">
        <v>15</v>
      </c>
      <c r="C391" s="108"/>
      <c r="D391" s="11"/>
      <c r="E391" s="11"/>
      <c r="F391" s="11"/>
      <c r="G391" s="11"/>
      <c r="H391" s="11"/>
      <c r="I391" s="11"/>
      <c r="J391" s="11"/>
      <c r="K391" s="11"/>
      <c r="L391" s="11"/>
      <c r="M391" s="65"/>
    </row>
    <row r="392" spans="1:13" hidden="1" outlineLevel="1" x14ac:dyDescent="0.25">
      <c r="B392" s="109" t="s">
        <v>19</v>
      </c>
      <c r="C392" s="109">
        <v>100</v>
      </c>
      <c r="G392" s="30"/>
    </row>
    <row r="393" spans="1:13" hidden="1" outlineLevel="1" x14ac:dyDescent="0.25">
      <c r="B393" s="109" t="s">
        <v>20</v>
      </c>
      <c r="C393" s="109">
        <v>0</v>
      </c>
      <c r="G393" s="30"/>
    </row>
    <row r="394" spans="1:13" hidden="1" outlineLevel="1" x14ac:dyDescent="0.25">
      <c r="B394" s="109" t="s">
        <v>13</v>
      </c>
      <c r="C394" s="109">
        <v>0</v>
      </c>
      <c r="G394" s="30"/>
    </row>
    <row r="395" spans="1:13" hidden="1" outlineLevel="1" x14ac:dyDescent="0.25">
      <c r="B395" s="109" t="s">
        <v>35</v>
      </c>
      <c r="C395" s="109">
        <v>-1</v>
      </c>
      <c r="G395" s="30"/>
    </row>
    <row r="396" spans="1:13" hidden="1" outlineLevel="1" x14ac:dyDescent="0.25">
      <c r="G396" s="30"/>
    </row>
    <row r="397" spans="1:13" ht="30" collapsed="1" x14ac:dyDescent="0.25">
      <c r="A397" s="12" t="s">
        <v>90</v>
      </c>
      <c r="B397" s="7" t="s">
        <v>92</v>
      </c>
      <c r="C397" s="101"/>
      <c r="D397" s="111"/>
      <c r="E397" s="7">
        <f>IF($D397="N/A",0,1)</f>
        <v>1</v>
      </c>
      <c r="F397" s="30">
        <v>0.18</v>
      </c>
      <c r="G397" s="30">
        <f>IF(E397,F397*SUM($F$373,$F$384,$F$397,$F$408,$F$420,)/($E$373*$F$373+$E$384*$F$384+$E$397*$F$397+$E$408*$F$408+$E$420*$F$420),0)</f>
        <v>0.18</v>
      </c>
      <c r="J397" s="7">
        <f>IF(ISBLANK($D$397),0,VLOOKUP($D$397,$B$403:$C$406,2,0))</f>
        <v>0</v>
      </c>
      <c r="K397" s="7">
        <f>J397*G397</f>
        <v>0</v>
      </c>
      <c r="L397" s="7">
        <f>IF(ISBLANK(D397),0,IF(D397="Unknown",100*G397,J397*G397))</f>
        <v>0</v>
      </c>
      <c r="M397" s="63" t="str">
        <f>IF(D397=B403,"V",IF(D397=B404,"X",IF(D397=B406,"N/A",IF(D397=B405,"??", " "))))</f>
        <v xml:space="preserve"> </v>
      </c>
    </row>
    <row r="398" spans="1:13" hidden="1" outlineLevel="1" x14ac:dyDescent="0.25">
      <c r="G398" s="30"/>
    </row>
    <row r="399" spans="1:13" hidden="1" outlineLevel="1" x14ac:dyDescent="0.25">
      <c r="A399" s="15"/>
      <c r="B399" s="108" t="s">
        <v>16</v>
      </c>
      <c r="C399" s="108"/>
      <c r="D399" s="11"/>
      <c r="E399" s="11"/>
      <c r="F399" s="11"/>
      <c r="G399" s="11"/>
      <c r="H399" s="11"/>
      <c r="I399" s="11"/>
      <c r="J399" s="11"/>
      <c r="K399" s="11"/>
      <c r="L399" s="11"/>
      <c r="M399" s="65"/>
    </row>
    <row r="400" spans="1:13" hidden="1" outlineLevel="1" x14ac:dyDescent="0.25">
      <c r="B400" s="109" t="s">
        <v>93</v>
      </c>
      <c r="C400" s="109"/>
      <c r="G400" s="30"/>
    </row>
    <row r="401" spans="1:13" hidden="1" outlineLevel="1" x14ac:dyDescent="0.25">
      <c r="B401" s="109"/>
      <c r="C401" s="109"/>
      <c r="G401" s="30"/>
    </row>
    <row r="402" spans="1:13" hidden="1" outlineLevel="1" x14ac:dyDescent="0.25">
      <c r="A402" s="15"/>
      <c r="B402" s="108" t="s">
        <v>15</v>
      </c>
      <c r="C402" s="108"/>
      <c r="D402" s="11"/>
      <c r="E402" s="11"/>
      <c r="F402" s="11"/>
      <c r="G402" s="11"/>
      <c r="H402" s="11"/>
      <c r="I402" s="11"/>
      <c r="J402" s="11"/>
      <c r="K402" s="11"/>
      <c r="L402" s="11"/>
      <c r="M402" s="65"/>
    </row>
    <row r="403" spans="1:13" hidden="1" outlineLevel="1" x14ac:dyDescent="0.25">
      <c r="B403" s="109" t="s">
        <v>19</v>
      </c>
      <c r="C403" s="109">
        <v>100</v>
      </c>
      <c r="G403" s="30"/>
    </row>
    <row r="404" spans="1:13" hidden="1" outlineLevel="1" x14ac:dyDescent="0.25">
      <c r="B404" s="109" t="s">
        <v>20</v>
      </c>
      <c r="C404" s="109">
        <v>0</v>
      </c>
      <c r="G404" s="30"/>
    </row>
    <row r="405" spans="1:13" hidden="1" outlineLevel="1" x14ac:dyDescent="0.25">
      <c r="B405" s="109" t="s">
        <v>13</v>
      </c>
      <c r="C405" s="109">
        <v>0</v>
      </c>
      <c r="G405" s="30"/>
    </row>
    <row r="406" spans="1:13" hidden="1" outlineLevel="1" x14ac:dyDescent="0.25">
      <c r="B406" s="109" t="s">
        <v>35</v>
      </c>
      <c r="C406" s="109">
        <v>-1</v>
      </c>
      <c r="G406" s="30"/>
    </row>
    <row r="407" spans="1:13" hidden="1" outlineLevel="1" x14ac:dyDescent="0.25">
      <c r="G407" s="30"/>
    </row>
    <row r="408" spans="1:13" ht="30" collapsed="1" x14ac:dyDescent="0.25">
      <c r="A408" s="12" t="s">
        <v>91</v>
      </c>
      <c r="B408" s="7" t="s">
        <v>254</v>
      </c>
      <c r="C408" s="101"/>
      <c r="D408" s="111"/>
      <c r="E408" s="7">
        <f>IF($D408="N/A",0,1)</f>
        <v>1</v>
      </c>
      <c r="F408" s="30">
        <v>0.18</v>
      </c>
      <c r="G408" s="30">
        <f>IF(E408,F408*SUM($F$373,$F$384,$F$397,$F$408,$F$420,)/($E$373*$F$373+$E$384*$F$384+$E$397*$F$397+$E$408*$F$408+$E$420*$F$420),0)</f>
        <v>0.18</v>
      </c>
      <c r="J408" s="7">
        <f>IF(ISBLANK($D$408),0,VLOOKUP($D$408,$B$414:$C$418,2,0))</f>
        <v>0</v>
      </c>
      <c r="K408" s="7">
        <f>J408*G408</f>
        <v>0</v>
      </c>
      <c r="L408" s="7">
        <f>IF(ISBLANK(D408),0,IF(D408="Unknown",100*G408,J408*G408))</f>
        <v>0</v>
      </c>
      <c r="M408" s="63" t="str">
        <f>IF(D408=B414,"V",IF(D408=B416,"X",IF(D408=B418,"N/A",IF(D408=B417,"??", IF(D408=B415,"X"," ")))))</f>
        <v xml:space="preserve"> </v>
      </c>
    </row>
    <row r="409" spans="1:13" hidden="1" outlineLevel="1" x14ac:dyDescent="0.25">
      <c r="G409" s="30"/>
    </row>
    <row r="410" spans="1:13" hidden="1" outlineLevel="1" x14ac:dyDescent="0.25">
      <c r="A410" s="15"/>
      <c r="B410" s="108" t="s">
        <v>16</v>
      </c>
      <c r="C410" s="108"/>
      <c r="D410" s="11"/>
      <c r="E410" s="11"/>
      <c r="F410" s="11"/>
      <c r="G410" s="11"/>
      <c r="H410" s="11"/>
      <c r="I410" s="11"/>
      <c r="J410" s="11"/>
      <c r="K410" s="11"/>
      <c r="L410" s="11"/>
      <c r="M410" s="65"/>
    </row>
    <row r="411" spans="1:13" hidden="1" outlineLevel="1" x14ac:dyDescent="0.25">
      <c r="B411" s="109" t="s">
        <v>95</v>
      </c>
      <c r="C411" s="109"/>
      <c r="G411" s="30"/>
    </row>
    <row r="412" spans="1:13" hidden="1" outlineLevel="1" x14ac:dyDescent="0.25">
      <c r="B412" s="109"/>
      <c r="C412" s="109"/>
      <c r="G412" s="30"/>
    </row>
    <row r="413" spans="1:13" hidden="1" outlineLevel="1" x14ac:dyDescent="0.25">
      <c r="A413" s="15"/>
      <c r="B413" s="108" t="s">
        <v>15</v>
      </c>
      <c r="C413" s="108"/>
      <c r="D413" s="11"/>
      <c r="E413" s="11"/>
      <c r="F413" s="11"/>
      <c r="G413" s="11"/>
      <c r="H413" s="11"/>
      <c r="I413" s="11"/>
      <c r="J413" s="11"/>
      <c r="K413" s="11"/>
      <c r="L413" s="11"/>
      <c r="M413" s="65"/>
    </row>
    <row r="414" spans="1:13" hidden="1" outlineLevel="1" x14ac:dyDescent="0.25">
      <c r="B414" s="109" t="s">
        <v>255</v>
      </c>
      <c r="C414" s="109">
        <v>100</v>
      </c>
      <c r="G414" s="30"/>
    </row>
    <row r="415" spans="1:13" hidden="1" outlineLevel="1" x14ac:dyDescent="0.25">
      <c r="B415" s="109" t="s">
        <v>256</v>
      </c>
      <c r="C415" s="109">
        <v>60</v>
      </c>
      <c r="G415" s="30"/>
    </row>
    <row r="416" spans="1:13" hidden="1" outlineLevel="1" x14ac:dyDescent="0.25">
      <c r="B416" s="109" t="s">
        <v>20</v>
      </c>
      <c r="C416" s="109">
        <v>0</v>
      </c>
      <c r="G416" s="30"/>
    </row>
    <row r="417" spans="1:13" hidden="1" outlineLevel="1" x14ac:dyDescent="0.25">
      <c r="B417" s="109" t="s">
        <v>13</v>
      </c>
      <c r="C417" s="109">
        <v>0</v>
      </c>
      <c r="G417" s="30"/>
    </row>
    <row r="418" spans="1:13" hidden="1" outlineLevel="1" x14ac:dyDescent="0.25">
      <c r="B418" s="109" t="s">
        <v>35</v>
      </c>
      <c r="C418" s="109">
        <v>-1</v>
      </c>
      <c r="G418" s="30"/>
    </row>
    <row r="419" spans="1:13" hidden="1" outlineLevel="1" x14ac:dyDescent="0.25">
      <c r="G419" s="30"/>
    </row>
    <row r="420" spans="1:13" ht="30" collapsed="1" x14ac:dyDescent="0.25">
      <c r="A420" s="12" t="s">
        <v>94</v>
      </c>
      <c r="B420" s="7" t="s">
        <v>96</v>
      </c>
      <c r="C420" s="101"/>
      <c r="D420" s="111"/>
      <c r="E420" s="7">
        <f>IF($D420="N/A",0,1)</f>
        <v>1</v>
      </c>
      <c r="F420" s="30">
        <v>0.18</v>
      </c>
      <c r="G420" s="30">
        <f>IF(E420,F420*SUM($F$373,$F$384,$F$397,$F$408,$F$420,)/($E$373*$F$373+$E$384*$F$384+$E$397*$F$397+$E$408*$F$408+$E$420*$F$420),0)</f>
        <v>0.18</v>
      </c>
      <c r="J420" s="7">
        <f>IF(ISBLANK($D$420),0,VLOOKUP($D$420,$B$426:$C$429,2,0))</f>
        <v>0</v>
      </c>
      <c r="K420" s="7">
        <f>J420*G420</f>
        <v>0</v>
      </c>
      <c r="L420" s="7">
        <f>IF(ISBLANK(D420),0,IF(D420="Unknown",100*G420,J420*G420))</f>
        <v>0</v>
      </c>
      <c r="M420" s="63" t="str">
        <f>IF(D420=B426,"V",IF(D420=B427,"X",IF(D420=B429,"N/A",IF(D420=B428,"??", " "))))</f>
        <v xml:space="preserve"> </v>
      </c>
    </row>
    <row r="421" spans="1:13" hidden="1" outlineLevel="1" x14ac:dyDescent="0.25"/>
    <row r="422" spans="1:13" hidden="1" outlineLevel="1" x14ac:dyDescent="0.25">
      <c r="A422" s="15"/>
      <c r="B422" s="108" t="s">
        <v>16</v>
      </c>
      <c r="C422" s="108"/>
      <c r="D422" s="11"/>
      <c r="E422" s="11"/>
      <c r="F422" s="11"/>
      <c r="G422" s="11"/>
      <c r="H422" s="11"/>
      <c r="I422" s="11"/>
      <c r="J422" s="11"/>
      <c r="K422" s="11"/>
      <c r="L422" s="11"/>
      <c r="M422" s="65"/>
    </row>
    <row r="423" spans="1:13" hidden="1" outlineLevel="1" x14ac:dyDescent="0.25">
      <c r="B423" s="109" t="s">
        <v>97</v>
      </c>
      <c r="C423" s="109"/>
    </row>
    <row r="424" spans="1:13" hidden="1" outlineLevel="1" x14ac:dyDescent="0.25">
      <c r="B424" s="109"/>
      <c r="C424" s="109"/>
    </row>
    <row r="425" spans="1:13" hidden="1" outlineLevel="1" x14ac:dyDescent="0.25">
      <c r="A425" s="15"/>
      <c r="B425" s="108" t="s">
        <v>15</v>
      </c>
      <c r="C425" s="108"/>
      <c r="D425" s="11"/>
      <c r="E425" s="11"/>
      <c r="F425" s="11"/>
      <c r="G425" s="11"/>
      <c r="H425" s="11"/>
      <c r="I425" s="11"/>
      <c r="J425" s="11"/>
      <c r="K425" s="11"/>
      <c r="L425" s="11"/>
      <c r="M425" s="65"/>
    </row>
    <row r="426" spans="1:13" hidden="1" outlineLevel="1" x14ac:dyDescent="0.25">
      <c r="B426" s="109" t="s">
        <v>19</v>
      </c>
      <c r="C426" s="109">
        <v>100</v>
      </c>
    </row>
    <row r="427" spans="1:13" hidden="1" outlineLevel="1" x14ac:dyDescent="0.25">
      <c r="B427" s="109" t="s">
        <v>20</v>
      </c>
      <c r="C427" s="109">
        <v>0</v>
      </c>
    </row>
    <row r="428" spans="1:13" hidden="1" outlineLevel="1" x14ac:dyDescent="0.25">
      <c r="B428" s="109" t="s">
        <v>13</v>
      </c>
      <c r="C428" s="109">
        <v>0</v>
      </c>
    </row>
    <row r="429" spans="1:13" hidden="1" outlineLevel="1" x14ac:dyDescent="0.25">
      <c r="B429" s="109" t="s">
        <v>35</v>
      </c>
      <c r="C429" s="109">
        <v>-1</v>
      </c>
    </row>
    <row r="430" spans="1:13" hidden="1" outlineLevel="1" x14ac:dyDescent="0.25"/>
    <row r="431" spans="1:13" x14ac:dyDescent="0.25">
      <c r="A431" s="14" t="s">
        <v>371</v>
      </c>
      <c r="B431" s="10" t="s">
        <v>245</v>
      </c>
      <c r="C431" s="10"/>
      <c r="D431" s="10"/>
      <c r="E431" s="17">
        <f>IF(AND($D$432="N/A",$D$443="N/A",$D$451="N/A",$D$465="N/A",$D$480="N/A",$D$491="N/A",$D$502="N/A"),0,1)</f>
        <v>1</v>
      </c>
      <c r="F431" s="31">
        <f>(F432+F443+F451+F465+F480+F491+F502)</f>
        <v>1</v>
      </c>
      <c r="G431" s="31">
        <f>(G432+G443+G451+G465+G480+G491+G502)</f>
        <v>1</v>
      </c>
      <c r="H431" s="31">
        <v>0.3</v>
      </c>
      <c r="I431" s="31">
        <f>IF(E431,H431*SUM($H$320,$H$351,$H$372,$H$431,)/($E$320*$H$320+$E$351*$H$351+$E$372*$H$372+$E$431*$H$431),0)</f>
        <v>0.3</v>
      </c>
      <c r="J431" s="31"/>
      <c r="K431" s="31">
        <f>(K432+K443+K451+K465+K480+K491+K502)*I431/100</f>
        <v>0</v>
      </c>
      <c r="L431" s="31">
        <f>(L432+L443+L451+L465+L480+L491+L502)*I431/100</f>
        <v>0</v>
      </c>
      <c r="M431" s="64"/>
    </row>
    <row r="432" spans="1:13" collapsed="1" x14ac:dyDescent="0.25">
      <c r="A432" s="12" t="s">
        <v>372</v>
      </c>
      <c r="B432" s="7" t="s">
        <v>105</v>
      </c>
      <c r="C432" s="101"/>
      <c r="D432" s="111"/>
      <c r="E432" s="7">
        <f>IF($D432="N/A",0,1)</f>
        <v>1</v>
      </c>
      <c r="F432" s="30">
        <v>0.14000000000000001</v>
      </c>
      <c r="G432" s="30">
        <f>IF(E432,F432*SUM($F$432,$F$443,$F$451,$F$465,$F$480,$F$491,$F$502,)/($E$432*$F$432+$E$443*$F$443+$E$451*$F$451+$E$465*$F$465+$E$480*$F$480+$E$491*$F$491+$E$502*$F$502),0)</f>
        <v>0.14000000000000001</v>
      </c>
      <c r="J432" s="7">
        <f>IF(ISBLANK($D$432),0,VLOOKUP($D$432,$B$435:$C$441,2,0))</f>
        <v>0</v>
      </c>
      <c r="K432" s="7">
        <f>J432*G432</f>
        <v>0</v>
      </c>
      <c r="L432" s="7">
        <f>IF(ISBLANK(D432),0,IF(D432="Unknown",100*G432,J432*G432))</f>
        <v>0</v>
      </c>
      <c r="M432" s="120" t="s">
        <v>35</v>
      </c>
    </row>
    <row r="433" spans="1:13" hidden="1" outlineLevel="1" x14ac:dyDescent="0.25"/>
    <row r="434" spans="1:13" hidden="1" outlineLevel="1" x14ac:dyDescent="0.25">
      <c r="A434" s="15"/>
      <c r="B434" s="108" t="s">
        <v>15</v>
      </c>
      <c r="C434" s="108"/>
      <c r="D434" s="11"/>
      <c r="E434" s="11"/>
      <c r="F434" s="11"/>
      <c r="G434" s="11"/>
      <c r="H434" s="11"/>
      <c r="I434" s="11"/>
      <c r="J434" s="11"/>
      <c r="K434" s="11"/>
      <c r="L434" s="11"/>
      <c r="M434" s="65"/>
    </row>
    <row r="435" spans="1:13" hidden="1" outlineLevel="1" x14ac:dyDescent="0.25">
      <c r="B435" s="109" t="s">
        <v>106</v>
      </c>
      <c r="C435" s="109">
        <v>100</v>
      </c>
    </row>
    <row r="436" spans="1:13" hidden="1" outlineLevel="1" x14ac:dyDescent="0.25">
      <c r="B436" s="109" t="s">
        <v>62</v>
      </c>
      <c r="C436" s="109">
        <v>80</v>
      </c>
    </row>
    <row r="437" spans="1:13" hidden="1" outlineLevel="1" x14ac:dyDescent="0.25">
      <c r="B437" s="109" t="s">
        <v>108</v>
      </c>
      <c r="C437" s="109">
        <v>60</v>
      </c>
    </row>
    <row r="438" spans="1:13" hidden="1" outlineLevel="1" x14ac:dyDescent="0.25">
      <c r="B438" s="109" t="s">
        <v>63</v>
      </c>
      <c r="C438" s="109">
        <v>40</v>
      </c>
    </row>
    <row r="439" spans="1:13" hidden="1" outlineLevel="1" x14ac:dyDescent="0.25">
      <c r="B439" s="109" t="s">
        <v>107</v>
      </c>
      <c r="C439" s="109">
        <v>20</v>
      </c>
    </row>
    <row r="440" spans="1:13" hidden="1" outlineLevel="1" x14ac:dyDescent="0.25">
      <c r="B440" s="109" t="s">
        <v>13</v>
      </c>
      <c r="C440" s="109">
        <v>0</v>
      </c>
    </row>
    <row r="441" spans="1:13" hidden="1" outlineLevel="1" x14ac:dyDescent="0.25">
      <c r="B441" s="109" t="s">
        <v>35</v>
      </c>
      <c r="C441" s="109">
        <v>-1</v>
      </c>
    </row>
    <row r="442" spans="1:13" hidden="1" outlineLevel="1" x14ac:dyDescent="0.25"/>
    <row r="443" spans="1:13" ht="30" collapsed="1" x14ac:dyDescent="0.25">
      <c r="A443" s="12" t="s">
        <v>373</v>
      </c>
      <c r="B443" s="7" t="s">
        <v>109</v>
      </c>
      <c r="C443" s="101"/>
      <c r="D443" s="111"/>
      <c r="E443" s="7">
        <f>IF($D443="N/A",0,1)</f>
        <v>1</v>
      </c>
      <c r="F443" s="30">
        <v>0.14000000000000001</v>
      </c>
      <c r="G443" s="30">
        <f>IF(E443,F443*SUM($F$432,$F$443,$F$451,$F$465,$F$480,$F$491,$F$502,)/($E$432*$F$432+$E$443*$F$443+$E$451*$F$451+$E$465*$F$465+$E$480*$F$480+$E$491*$F$491+$E$502*$F$502),0)</f>
        <v>0.14000000000000001</v>
      </c>
      <c r="J443" s="7">
        <f>IF(ISBLANK($D$443),0,VLOOKUP($D$443,$B$446:$C$449,2,0))</f>
        <v>0</v>
      </c>
      <c r="K443" s="7">
        <f>J443*G443</f>
        <v>0</v>
      </c>
      <c r="L443" s="7">
        <f>IF(ISBLANK(D443),0,IF(D443="Unknown",100*G443,J443*G443))</f>
        <v>0</v>
      </c>
      <c r="M443" s="120" t="s">
        <v>35</v>
      </c>
    </row>
    <row r="444" spans="1:13" hidden="1" outlineLevel="1" x14ac:dyDescent="0.25"/>
    <row r="445" spans="1:13" hidden="1" outlineLevel="1" x14ac:dyDescent="0.25">
      <c r="A445" s="15"/>
      <c r="B445" s="108" t="s">
        <v>15</v>
      </c>
      <c r="C445" s="108"/>
      <c r="D445" s="11"/>
      <c r="E445" s="11"/>
      <c r="F445" s="11"/>
      <c r="G445" s="11"/>
      <c r="H445" s="11"/>
      <c r="I445" s="11"/>
      <c r="J445" s="11"/>
      <c r="K445" s="11"/>
      <c r="L445" s="11"/>
      <c r="M445" s="65"/>
    </row>
    <row r="446" spans="1:13" hidden="1" outlineLevel="1" x14ac:dyDescent="0.25">
      <c r="B446" s="109" t="s">
        <v>19</v>
      </c>
      <c r="C446" s="109">
        <v>100</v>
      </c>
    </row>
    <row r="447" spans="1:13" hidden="1" outlineLevel="1" x14ac:dyDescent="0.25">
      <c r="B447" s="109" t="s">
        <v>20</v>
      </c>
      <c r="C447" s="109">
        <v>0</v>
      </c>
    </row>
    <row r="448" spans="1:13" hidden="1" outlineLevel="1" x14ac:dyDescent="0.25">
      <c r="B448" s="109" t="s">
        <v>13</v>
      </c>
      <c r="C448" s="109">
        <v>0</v>
      </c>
    </row>
    <row r="449" spans="1:13" hidden="1" outlineLevel="1" x14ac:dyDescent="0.25">
      <c r="B449" s="109" t="s">
        <v>35</v>
      </c>
      <c r="C449" s="109">
        <v>-1</v>
      </c>
    </row>
    <row r="450" spans="1:13" hidden="1" outlineLevel="1" x14ac:dyDescent="0.25"/>
    <row r="451" spans="1:13" ht="30" collapsed="1" x14ac:dyDescent="0.25">
      <c r="A451" s="12" t="s">
        <v>374</v>
      </c>
      <c r="B451" s="7" t="s">
        <v>110</v>
      </c>
      <c r="C451" s="101"/>
      <c r="D451" s="111"/>
      <c r="E451" s="7">
        <f>IF($D451="N/A",0,1)</f>
        <v>1</v>
      </c>
      <c r="F451" s="30">
        <v>0.14000000000000001</v>
      </c>
      <c r="G451" s="30">
        <f>IF(E451,F451*SUM($F$432,$F$443,$F$451,$F$465,$F$480,$F$491,$F$502,)/($E$432*$F$432+$E$443*$F$443+$E$451*$F$451+$E$465*$F$465+$E$480*$F$480+$E$491*$F$491+$E$502*$F$502),0)</f>
        <v>0.14000000000000001</v>
      </c>
      <c r="J451" s="7">
        <f>IF(ISBLANK($D$451),0,VLOOKUP($D$451,$B$457:$C$463,2,0))</f>
        <v>0</v>
      </c>
      <c r="K451" s="7">
        <f>J451*G451</f>
        <v>0</v>
      </c>
      <c r="L451" s="7">
        <f>IF(ISBLANK(D451),0,IF(D451="Unknown",100*G451,J451*G451))</f>
        <v>0</v>
      </c>
      <c r="M451" s="63" t="str">
        <f>IF(D451=""," ",IF(D451=B462,"??",IF(D451=B463,"N/A",IF(D451=B457,"X","V"))))</f>
        <v xml:space="preserve"> </v>
      </c>
    </row>
    <row r="452" spans="1:13" hidden="1" outlineLevel="1" x14ac:dyDescent="0.25"/>
    <row r="453" spans="1:13" hidden="1" outlineLevel="1" x14ac:dyDescent="0.25">
      <c r="A453" s="15"/>
      <c r="B453" s="108" t="s">
        <v>16</v>
      </c>
      <c r="C453" s="108"/>
      <c r="D453" s="11"/>
      <c r="E453" s="11"/>
      <c r="F453" s="11"/>
      <c r="G453" s="11"/>
      <c r="H453" s="11"/>
      <c r="I453" s="11"/>
      <c r="J453" s="11"/>
      <c r="K453" s="11"/>
      <c r="L453" s="11"/>
      <c r="M453" s="65"/>
    </row>
    <row r="454" spans="1:13" ht="30" hidden="1" outlineLevel="1" x14ac:dyDescent="0.25">
      <c r="B454" s="109" t="s">
        <v>319</v>
      </c>
      <c r="C454" s="109"/>
    </row>
    <row r="455" spans="1:13" hidden="1" outlineLevel="1" x14ac:dyDescent="0.25">
      <c r="B455" s="109"/>
      <c r="C455" s="109"/>
    </row>
    <row r="456" spans="1:13" hidden="1" outlineLevel="1" x14ac:dyDescent="0.25">
      <c r="A456" s="15"/>
      <c r="B456" s="108" t="s">
        <v>15</v>
      </c>
      <c r="C456" s="108"/>
      <c r="D456" s="11"/>
      <c r="E456" s="11"/>
      <c r="F456" s="11"/>
      <c r="G456" s="11"/>
      <c r="H456" s="11"/>
      <c r="I456" s="11"/>
      <c r="J456" s="11"/>
      <c r="K456" s="11"/>
      <c r="L456" s="11"/>
      <c r="M456" s="65"/>
    </row>
    <row r="457" spans="1:13" hidden="1" outlineLevel="1" x14ac:dyDescent="0.25">
      <c r="B457" s="109" t="s">
        <v>20</v>
      </c>
      <c r="C457" s="109">
        <v>0</v>
      </c>
    </row>
    <row r="458" spans="1:13" hidden="1" outlineLevel="1" x14ac:dyDescent="0.25">
      <c r="B458" s="109" t="s">
        <v>263</v>
      </c>
      <c r="C458" s="109">
        <v>30</v>
      </c>
    </row>
    <row r="459" spans="1:13" hidden="1" outlineLevel="1" x14ac:dyDescent="0.25">
      <c r="B459" s="109" t="s">
        <v>264</v>
      </c>
      <c r="C459" s="109">
        <v>50</v>
      </c>
    </row>
    <row r="460" spans="1:13" hidden="1" outlineLevel="1" x14ac:dyDescent="0.25">
      <c r="B460" s="109" t="s">
        <v>261</v>
      </c>
      <c r="C460" s="109">
        <v>80</v>
      </c>
    </row>
    <row r="461" spans="1:13" hidden="1" outlineLevel="1" x14ac:dyDescent="0.25">
      <c r="B461" s="109" t="s">
        <v>262</v>
      </c>
      <c r="C461" s="109">
        <v>100</v>
      </c>
    </row>
    <row r="462" spans="1:13" hidden="1" outlineLevel="1" x14ac:dyDescent="0.25">
      <c r="B462" s="109" t="s">
        <v>13</v>
      </c>
      <c r="C462" s="109">
        <v>0</v>
      </c>
    </row>
    <row r="463" spans="1:13" hidden="1" outlineLevel="1" x14ac:dyDescent="0.25">
      <c r="B463" s="109" t="s">
        <v>35</v>
      </c>
      <c r="C463" s="109">
        <v>-1</v>
      </c>
    </row>
    <row r="464" spans="1:13" hidden="1" outlineLevel="1" x14ac:dyDescent="0.25"/>
    <row r="465" spans="1:13" collapsed="1" x14ac:dyDescent="0.25">
      <c r="A465" s="12" t="s">
        <v>375</v>
      </c>
      <c r="B465" s="7" t="s">
        <v>112</v>
      </c>
      <c r="C465" s="101"/>
      <c r="D465" s="111"/>
      <c r="E465" s="7">
        <f>IF($D465="N/A",0,1)</f>
        <v>1</v>
      </c>
      <c r="F465" s="30">
        <v>0.15</v>
      </c>
      <c r="G465" s="30">
        <f>IF(E465,F465*SUM($F$432,$F$443,$F$451,$F$465,$F$480,$F$491,$F$502,)/($E$432*$F$432+$E$443*$F$443+$E$451*$F$451+$E$465*$F$465+$E$480*$F$480+$E$491*$F$491+$E$502*$F$502),0)</f>
        <v>0.15</v>
      </c>
      <c r="J465" s="7">
        <f>IF(ISBLANK($D$465),0,VLOOKUP($D$465,$B$471:$C$478,2,0))</f>
        <v>0</v>
      </c>
      <c r="K465" s="7">
        <f>J465*G465</f>
        <v>0</v>
      </c>
      <c r="L465" s="7">
        <f>IF(ISBLANK(D465),0,IF(D465="Unknown",100*G465,J465*G465))</f>
        <v>0</v>
      </c>
      <c r="M465" s="63" t="str">
        <f>IF(D465=""," ",IF(D465=B476,"??",IF(D465=B477,"??",IF(D465=B471,"X",IF(D465=B478,"N/A","V")))))</f>
        <v xml:space="preserve"> </v>
      </c>
    </row>
    <row r="466" spans="1:13" hidden="1" outlineLevel="1" x14ac:dyDescent="0.25"/>
    <row r="467" spans="1:13" hidden="1" outlineLevel="1" x14ac:dyDescent="0.25">
      <c r="A467" s="15"/>
      <c r="B467" s="108" t="s">
        <v>16</v>
      </c>
      <c r="C467" s="108"/>
      <c r="D467" s="11"/>
      <c r="E467" s="11"/>
      <c r="F467" s="11"/>
      <c r="G467" s="11"/>
      <c r="H467" s="11"/>
      <c r="I467" s="11"/>
      <c r="J467" s="11"/>
      <c r="K467" s="11"/>
      <c r="L467" s="11"/>
      <c r="M467" s="65"/>
    </row>
    <row r="468" spans="1:13" hidden="1" outlineLevel="1" x14ac:dyDescent="0.25">
      <c r="B468" s="109" t="s">
        <v>320</v>
      </c>
      <c r="C468" s="109"/>
    </row>
    <row r="469" spans="1:13" hidden="1" outlineLevel="1" x14ac:dyDescent="0.25">
      <c r="B469" s="109"/>
      <c r="C469" s="109"/>
    </row>
    <row r="470" spans="1:13" hidden="1" outlineLevel="1" x14ac:dyDescent="0.25">
      <c r="A470" s="15"/>
      <c r="B470" s="108" t="s">
        <v>15</v>
      </c>
      <c r="C470" s="108"/>
      <c r="D470" s="11"/>
      <c r="E470" s="11"/>
      <c r="F470" s="11"/>
      <c r="G470" s="11"/>
      <c r="H470" s="11"/>
      <c r="I470" s="11"/>
      <c r="J470" s="11"/>
      <c r="K470" s="11"/>
      <c r="L470" s="11"/>
      <c r="M470" s="65"/>
    </row>
    <row r="471" spans="1:13" hidden="1" outlineLevel="1" x14ac:dyDescent="0.25">
      <c r="B471" s="109" t="s">
        <v>20</v>
      </c>
      <c r="C471" s="109">
        <v>0</v>
      </c>
    </row>
    <row r="472" spans="1:13" hidden="1" outlineLevel="1" x14ac:dyDescent="0.25">
      <c r="B472" s="109" t="s">
        <v>265</v>
      </c>
      <c r="C472" s="109">
        <v>25</v>
      </c>
    </row>
    <row r="473" spans="1:13" hidden="1" outlineLevel="1" x14ac:dyDescent="0.25">
      <c r="B473" s="109" t="s">
        <v>266</v>
      </c>
      <c r="C473" s="109">
        <v>50</v>
      </c>
    </row>
    <row r="474" spans="1:13" hidden="1" outlineLevel="1" x14ac:dyDescent="0.25">
      <c r="B474" s="109" t="s">
        <v>267</v>
      </c>
      <c r="C474" s="109">
        <v>75</v>
      </c>
    </row>
    <row r="475" spans="1:13" hidden="1" outlineLevel="1" x14ac:dyDescent="0.25">
      <c r="B475" s="109" t="s">
        <v>268</v>
      </c>
      <c r="C475" s="109">
        <v>100</v>
      </c>
    </row>
    <row r="476" spans="1:13" hidden="1" outlineLevel="1" x14ac:dyDescent="0.25">
      <c r="B476" s="109" t="s">
        <v>269</v>
      </c>
      <c r="C476" s="109">
        <v>25</v>
      </c>
    </row>
    <row r="477" spans="1:13" hidden="1" outlineLevel="1" x14ac:dyDescent="0.25">
      <c r="B477" s="109" t="s">
        <v>13</v>
      </c>
      <c r="C477" s="109">
        <v>0</v>
      </c>
    </row>
    <row r="478" spans="1:13" hidden="1" outlineLevel="1" x14ac:dyDescent="0.25">
      <c r="B478" s="109" t="s">
        <v>35</v>
      </c>
      <c r="C478" s="109">
        <v>-1</v>
      </c>
    </row>
    <row r="479" spans="1:13" hidden="1" outlineLevel="1" x14ac:dyDescent="0.25"/>
    <row r="480" spans="1:13" collapsed="1" x14ac:dyDescent="0.25">
      <c r="A480" s="12" t="s">
        <v>376</v>
      </c>
      <c r="B480" s="7" t="s">
        <v>270</v>
      </c>
      <c r="C480" s="101"/>
      <c r="D480" s="111"/>
      <c r="E480" s="7">
        <f>IF($D480="N/A",0,1)</f>
        <v>1</v>
      </c>
      <c r="F480" s="30">
        <v>0.15</v>
      </c>
      <c r="G480" s="30">
        <f>IF(E480,F480*SUM($F$432,$F$443,$F$451,$F$465,$F$480,$F$491,$F$502,)/($E$432*$F$432+$E$443*$F$443+$E$451*$F$451+$E$465*$F$465+$E$480*$F$480+$E$491*$F$491+$E$502*$F$502),0)</f>
        <v>0.15</v>
      </c>
      <c r="J480" s="7">
        <f>IF(ISBLANK($D$480),0,VLOOKUP($D$480,$B$486:$C$489,2,0))</f>
        <v>0</v>
      </c>
      <c r="K480" s="7">
        <f>J480*G480</f>
        <v>0</v>
      </c>
      <c r="L480" s="7">
        <f>IF(ISBLANK(D480),0,IF(D480="Unknown",100*G480,J480*G480))</f>
        <v>0</v>
      </c>
      <c r="M480" s="63" t="str">
        <f>IF(D480=B486,"V",IF(D480=B487,"X",IF(D480=B489,"N/A",IF(D480=B488,"??", " "))))</f>
        <v xml:space="preserve"> </v>
      </c>
    </row>
    <row r="481" spans="1:13" hidden="1" outlineLevel="1" x14ac:dyDescent="0.25"/>
    <row r="482" spans="1:13" hidden="1" outlineLevel="1" x14ac:dyDescent="0.25">
      <c r="A482" s="15"/>
      <c r="B482" s="108" t="s">
        <v>16</v>
      </c>
      <c r="C482" s="108"/>
      <c r="D482" s="11"/>
      <c r="E482" s="11"/>
      <c r="F482" s="11"/>
      <c r="G482" s="11"/>
      <c r="H482" s="11"/>
      <c r="I482" s="11"/>
      <c r="J482" s="11"/>
      <c r="K482" s="11"/>
      <c r="L482" s="11"/>
      <c r="M482" s="65"/>
    </row>
    <row r="483" spans="1:13" ht="30" hidden="1" outlineLevel="1" x14ac:dyDescent="0.25">
      <c r="B483" s="109" t="s">
        <v>111</v>
      </c>
      <c r="C483" s="109"/>
    </row>
    <row r="484" spans="1:13" hidden="1" outlineLevel="1" x14ac:dyDescent="0.25">
      <c r="B484" s="109"/>
      <c r="C484" s="109"/>
    </row>
    <row r="485" spans="1:13" hidden="1" outlineLevel="1" x14ac:dyDescent="0.25">
      <c r="A485" s="15"/>
      <c r="B485" s="108" t="s">
        <v>15</v>
      </c>
      <c r="C485" s="108"/>
      <c r="D485" s="11"/>
      <c r="E485" s="11"/>
      <c r="F485" s="11"/>
      <c r="G485" s="11"/>
      <c r="H485" s="11"/>
      <c r="I485" s="11"/>
      <c r="J485" s="11"/>
      <c r="K485" s="11"/>
      <c r="L485" s="11"/>
      <c r="M485" s="65"/>
    </row>
    <row r="486" spans="1:13" hidden="1" outlineLevel="1" x14ac:dyDescent="0.25">
      <c r="B486" s="109" t="s">
        <v>19</v>
      </c>
      <c r="C486" s="109">
        <v>100</v>
      </c>
    </row>
    <row r="487" spans="1:13" hidden="1" outlineLevel="1" x14ac:dyDescent="0.25">
      <c r="B487" s="109" t="s">
        <v>20</v>
      </c>
      <c r="C487" s="109">
        <v>0</v>
      </c>
    </row>
    <row r="488" spans="1:13" hidden="1" outlineLevel="1" x14ac:dyDescent="0.25">
      <c r="B488" s="109" t="s">
        <v>13</v>
      </c>
      <c r="C488" s="109">
        <v>0</v>
      </c>
    </row>
    <row r="489" spans="1:13" hidden="1" outlineLevel="1" x14ac:dyDescent="0.25">
      <c r="B489" s="109" t="s">
        <v>35</v>
      </c>
      <c r="C489" s="109">
        <v>-1</v>
      </c>
    </row>
    <row r="490" spans="1:13" hidden="1" outlineLevel="1" x14ac:dyDescent="0.25"/>
    <row r="491" spans="1:13" ht="30" collapsed="1" x14ac:dyDescent="0.25">
      <c r="A491" s="12" t="s">
        <v>377</v>
      </c>
      <c r="B491" s="7" t="s">
        <v>384</v>
      </c>
      <c r="C491" s="101"/>
      <c r="D491" s="111"/>
      <c r="E491" s="7">
        <f>IF($D491="N/A",0,1)</f>
        <v>1</v>
      </c>
      <c r="F491" s="30">
        <v>0.14000000000000001</v>
      </c>
      <c r="G491" s="30">
        <f>IF(E491,F491*SUM($F$432,$F$443,$F$451,$F$465,$F$480,$F$491,$F$502,)/($E$432*$F$432+$E$443*$F$443+$E$451*$F$451+$E$465*$F$465+$E$480*$F$480+$E$491*$F$491+$E$502*$F$502),0)</f>
        <v>0.14000000000000001</v>
      </c>
      <c r="J491" s="7">
        <f>IF(ISBLANK($D$491),0,VLOOKUP($D$491,$B$497:$C$500,2,0))</f>
        <v>0</v>
      </c>
      <c r="K491" s="7">
        <f>J491*G491</f>
        <v>0</v>
      </c>
      <c r="L491" s="7">
        <f>IF(ISBLANK(D491),0,IF(D491="Unknown",100*G491,J491*G491))</f>
        <v>0</v>
      </c>
      <c r="M491" s="63" t="str">
        <f>IF(D491=B497,"V",IF(D491=B498,"X",IF(D491=B500,"N/A",IF(D491=B499,"??", " "))))</f>
        <v xml:space="preserve"> </v>
      </c>
    </row>
    <row r="492" spans="1:13" hidden="1" outlineLevel="1" x14ac:dyDescent="0.25"/>
    <row r="493" spans="1:13" hidden="1" outlineLevel="1" x14ac:dyDescent="0.25">
      <c r="A493" s="15"/>
      <c r="B493" s="108" t="s">
        <v>16</v>
      </c>
      <c r="C493" s="108"/>
      <c r="D493" s="11"/>
      <c r="E493" s="11"/>
      <c r="F493" s="11"/>
      <c r="G493" s="11"/>
      <c r="H493" s="11"/>
      <c r="I493" s="11"/>
      <c r="J493" s="11"/>
      <c r="K493" s="11"/>
      <c r="L493" s="11"/>
      <c r="M493" s="65"/>
    </row>
    <row r="494" spans="1:13" hidden="1" outlineLevel="1" x14ac:dyDescent="0.25">
      <c r="B494" s="109" t="s">
        <v>181</v>
      </c>
      <c r="C494" s="109"/>
    </row>
    <row r="495" spans="1:13" hidden="1" outlineLevel="1" x14ac:dyDescent="0.25">
      <c r="B495" s="109"/>
      <c r="C495" s="109"/>
    </row>
    <row r="496" spans="1:13" hidden="1" outlineLevel="1" x14ac:dyDescent="0.25">
      <c r="A496" s="15"/>
      <c r="B496" s="108" t="s">
        <v>15</v>
      </c>
      <c r="C496" s="108"/>
      <c r="D496" s="11"/>
      <c r="E496" s="11"/>
      <c r="F496" s="11"/>
      <c r="G496" s="11"/>
      <c r="H496" s="11"/>
      <c r="I496" s="11"/>
      <c r="J496" s="11"/>
      <c r="K496" s="11"/>
      <c r="L496" s="11"/>
      <c r="M496" s="65"/>
    </row>
    <row r="497" spans="1:13" hidden="1" outlineLevel="1" x14ac:dyDescent="0.25">
      <c r="B497" s="109" t="s">
        <v>19</v>
      </c>
      <c r="C497" s="109">
        <v>100</v>
      </c>
    </row>
    <row r="498" spans="1:13" hidden="1" outlineLevel="1" x14ac:dyDescent="0.25">
      <c r="B498" s="109" t="s">
        <v>20</v>
      </c>
      <c r="C498" s="109">
        <v>0</v>
      </c>
    </row>
    <row r="499" spans="1:13" hidden="1" outlineLevel="1" x14ac:dyDescent="0.25">
      <c r="B499" s="109" t="s">
        <v>13</v>
      </c>
      <c r="C499" s="109">
        <v>0</v>
      </c>
    </row>
    <row r="500" spans="1:13" hidden="1" outlineLevel="1" x14ac:dyDescent="0.25">
      <c r="B500" s="109" t="s">
        <v>35</v>
      </c>
      <c r="C500" s="109">
        <v>-1</v>
      </c>
    </row>
    <row r="501" spans="1:13" hidden="1" outlineLevel="1" x14ac:dyDescent="0.25"/>
    <row r="502" spans="1:13" collapsed="1" x14ac:dyDescent="0.25">
      <c r="A502" s="12" t="s">
        <v>378</v>
      </c>
      <c r="B502" s="7" t="s">
        <v>349</v>
      </c>
      <c r="C502" s="101"/>
      <c r="D502" s="111"/>
      <c r="E502" s="7">
        <f>IF($D502="N/A",0,1)</f>
        <v>1</v>
      </c>
      <c r="F502" s="30">
        <v>0.14000000000000001</v>
      </c>
      <c r="G502" s="30">
        <f>IF(E502,F502*SUM($F$432,$F$443,$F$451,$F$465,$F$480,$F$491,$F$502,)/($E$432*$F$432+$E$443*$F$443+$E$451*$F$451+$E$465*$F$465+$E$480*$F$480+$E$491*$F$491+$E$502*$F$502),0)</f>
        <v>0.14000000000000001</v>
      </c>
      <c r="J502" s="7">
        <f>IF(ISBLANK($D$502),0,VLOOKUP($D$502,$B$508:$C$511,2,0))</f>
        <v>0</v>
      </c>
      <c r="K502" s="7">
        <f>J502*G502</f>
        <v>0</v>
      </c>
      <c r="L502" s="7">
        <f>IF(ISBLANK(D502),0,IF(D502="Unknown",100*G502,J502*G502))</f>
        <v>0</v>
      </c>
      <c r="M502" s="63" t="str">
        <f>IF(D502=B508,"V",IF(D502=B509,"X",IF(D502=B511,"N/A",IF(D502=B510,"??", " "))))</f>
        <v xml:space="preserve"> </v>
      </c>
    </row>
    <row r="503" spans="1:13" hidden="1" outlineLevel="1" x14ac:dyDescent="0.25">
      <c r="G503" s="30"/>
    </row>
    <row r="504" spans="1:13" hidden="1" outlineLevel="1" x14ac:dyDescent="0.25">
      <c r="A504" s="15"/>
      <c r="B504" s="108" t="s">
        <v>16</v>
      </c>
      <c r="C504" s="108"/>
      <c r="D504" s="11"/>
      <c r="E504" s="11"/>
      <c r="F504" s="11"/>
      <c r="G504" s="11"/>
      <c r="H504" s="11"/>
      <c r="I504" s="11"/>
      <c r="J504" s="11"/>
      <c r="K504" s="11"/>
      <c r="L504" s="11"/>
      <c r="M504" s="65"/>
    </row>
    <row r="505" spans="1:13" hidden="1" outlineLevel="1" x14ac:dyDescent="0.25">
      <c r="B505" s="109" t="s">
        <v>321</v>
      </c>
      <c r="C505" s="109"/>
      <c r="G505" s="30"/>
    </row>
    <row r="506" spans="1:13" hidden="1" outlineLevel="1" x14ac:dyDescent="0.25">
      <c r="B506" s="109"/>
      <c r="C506" s="109"/>
      <c r="G506" s="30"/>
    </row>
    <row r="507" spans="1:13" hidden="1" outlineLevel="1" x14ac:dyDescent="0.25">
      <c r="A507" s="15"/>
      <c r="B507" s="108" t="s">
        <v>15</v>
      </c>
      <c r="C507" s="108"/>
      <c r="D507" s="11"/>
      <c r="E507" s="11"/>
      <c r="F507" s="11"/>
      <c r="G507" s="11"/>
      <c r="H507" s="11"/>
      <c r="I507" s="11"/>
      <c r="J507" s="11"/>
      <c r="K507" s="11"/>
      <c r="L507" s="11"/>
      <c r="M507" s="65"/>
    </row>
    <row r="508" spans="1:13" hidden="1" outlineLevel="1" x14ac:dyDescent="0.25">
      <c r="B508" s="109" t="s">
        <v>19</v>
      </c>
      <c r="C508" s="109">
        <v>100</v>
      </c>
      <c r="G508" s="30"/>
    </row>
    <row r="509" spans="1:13" hidden="1" outlineLevel="1" x14ac:dyDescent="0.25">
      <c r="B509" s="109" t="s">
        <v>20</v>
      </c>
      <c r="C509" s="109">
        <v>0</v>
      </c>
      <c r="G509" s="30"/>
    </row>
    <row r="510" spans="1:13" hidden="1" outlineLevel="1" x14ac:dyDescent="0.25">
      <c r="B510" s="109" t="s">
        <v>13</v>
      </c>
      <c r="C510" s="109">
        <v>0</v>
      </c>
      <c r="G510" s="30"/>
    </row>
    <row r="511" spans="1:13" hidden="1" outlineLevel="1" x14ac:dyDescent="0.25">
      <c r="B511" s="109" t="s">
        <v>35</v>
      </c>
      <c r="C511" s="109">
        <v>-1</v>
      </c>
      <c r="G511" s="30"/>
    </row>
    <row r="512" spans="1:13" hidden="1" outlineLevel="1" x14ac:dyDescent="0.25"/>
    <row r="513" spans="1:13" x14ac:dyDescent="0.25">
      <c r="A513" s="13">
        <v>4</v>
      </c>
      <c r="B513" s="9" t="s">
        <v>114</v>
      </c>
      <c r="C513" s="9"/>
      <c r="D513" s="9"/>
      <c r="E513" s="9"/>
      <c r="F513" s="9"/>
      <c r="G513" s="9"/>
      <c r="H513" s="33">
        <f>(H514+H570+H597)</f>
        <v>1</v>
      </c>
      <c r="I513" s="33">
        <f>(I514+I570+I597)</f>
        <v>1</v>
      </c>
      <c r="J513" s="33"/>
      <c r="K513" s="33">
        <f>(K514+K570+K597)</f>
        <v>0</v>
      </c>
      <c r="L513" s="33">
        <f>(L514+L570+L597)</f>
        <v>0</v>
      </c>
      <c r="M513" s="62"/>
    </row>
    <row r="514" spans="1:13" x14ac:dyDescent="0.25">
      <c r="A514" s="14" t="s">
        <v>113</v>
      </c>
      <c r="B514" s="10" t="s">
        <v>115</v>
      </c>
      <c r="C514" s="10"/>
      <c r="D514" s="10"/>
      <c r="E514" s="17">
        <f>IF(AND($D$515="N/A",$D$523="N/A",$D$531="N/A",$D$545="N/A",$D$560="N/A"),0,1)</f>
        <v>1</v>
      </c>
      <c r="F514" s="31">
        <f>(F515+F523+F531+F545+F560)</f>
        <v>1</v>
      </c>
      <c r="G514" s="31">
        <f>(G515+G523+G531+G545+G560)</f>
        <v>1</v>
      </c>
      <c r="H514" s="31">
        <v>0.34</v>
      </c>
      <c r="I514" s="31">
        <f>IF(E514,H514*SUM($H$514,$H$570,$H$597)/($E$514*$H$514+$E$570*$H$570+$E$597*$H$597),0)</f>
        <v>0.34</v>
      </c>
      <c r="J514" s="31"/>
      <c r="K514" s="31">
        <f>(K515+K523+K531+K545+K560)*I514/100</f>
        <v>0</v>
      </c>
      <c r="L514" s="31">
        <f>(L515+L523+L531+L545+L560)*I514/100</f>
        <v>0</v>
      </c>
      <c r="M514" s="64"/>
    </row>
    <row r="515" spans="1:13" collapsed="1" x14ac:dyDescent="0.25">
      <c r="A515" s="12" t="s">
        <v>116</v>
      </c>
      <c r="B515" s="7" t="s">
        <v>202</v>
      </c>
      <c r="C515" s="101"/>
      <c r="D515" s="111"/>
      <c r="E515" s="7">
        <f>IF($D515="N/A",0,1)</f>
        <v>1</v>
      </c>
      <c r="F515" s="30">
        <v>0.3</v>
      </c>
      <c r="G515" s="30">
        <f>IF(E515,F515*SUM($F$515,$F$523,$F$531,$F$545,$F$560,)/($E$515*$F$515+E$523*$F$523+$E$531*$F$531+$E$545*$F$545+$E$560*$F$560),0)</f>
        <v>0.3</v>
      </c>
      <c r="J515" s="7">
        <f>IF(ISBLANK($D$515),0,VLOOKUP($D$515,$B$518:$C$521,2,0))</f>
        <v>0</v>
      </c>
      <c r="K515" s="7">
        <f>J515*G515</f>
        <v>0</v>
      </c>
      <c r="L515" s="7">
        <f>IF(ISBLANK(D515),0,IF(D515="Unknown",100*G515,J515*G515))</f>
        <v>0</v>
      </c>
      <c r="M515" s="63" t="str">
        <f>IF(D515=B521,"N/A",IF(D515=B520,"??",IF(D515=B519,"X",IF(D515=""," ","V"))))</f>
        <v xml:space="preserve"> </v>
      </c>
    </row>
    <row r="516" spans="1:13" hidden="1" outlineLevel="1" x14ac:dyDescent="0.25"/>
    <row r="517" spans="1:13" hidden="1" outlineLevel="1" x14ac:dyDescent="0.25">
      <c r="A517" s="15"/>
      <c r="B517" s="108" t="s">
        <v>15</v>
      </c>
      <c r="C517" s="108"/>
      <c r="D517" s="11"/>
      <c r="E517" s="11"/>
      <c r="F517" s="11"/>
      <c r="G517" s="11"/>
      <c r="H517" s="11"/>
      <c r="I517" s="11"/>
      <c r="J517" s="11"/>
      <c r="K517" s="11"/>
      <c r="L517" s="11"/>
      <c r="M517" s="65"/>
    </row>
    <row r="518" spans="1:13" hidden="1" outlineLevel="1" x14ac:dyDescent="0.25">
      <c r="B518" s="109" t="s">
        <v>19</v>
      </c>
      <c r="C518" s="109">
        <v>100</v>
      </c>
    </row>
    <row r="519" spans="1:13" hidden="1" outlineLevel="1" x14ac:dyDescent="0.25">
      <c r="B519" s="109" t="s">
        <v>20</v>
      </c>
      <c r="C519" s="109">
        <v>0</v>
      </c>
    </row>
    <row r="520" spans="1:13" hidden="1" outlineLevel="1" x14ac:dyDescent="0.25">
      <c r="B520" s="109" t="s">
        <v>13</v>
      </c>
      <c r="C520" s="109">
        <v>0</v>
      </c>
    </row>
    <row r="521" spans="1:13" hidden="1" outlineLevel="1" x14ac:dyDescent="0.25">
      <c r="B521" s="109" t="s">
        <v>35</v>
      </c>
      <c r="C521" s="109">
        <v>-1</v>
      </c>
    </row>
    <row r="522" spans="1:13" hidden="1" outlineLevel="1" x14ac:dyDescent="0.25"/>
    <row r="523" spans="1:13" collapsed="1" x14ac:dyDescent="0.25">
      <c r="A523" s="12" t="s">
        <v>117</v>
      </c>
      <c r="B523" s="7" t="s">
        <v>182</v>
      </c>
      <c r="C523" s="101"/>
      <c r="D523" s="111"/>
      <c r="E523" s="7">
        <f>IF($D523="N/A",0,1)</f>
        <v>1</v>
      </c>
      <c r="F523" s="30">
        <v>0.3</v>
      </c>
      <c r="G523" s="30">
        <f>IF(E523,F523*SUM($F$515,$F$523,$F$531,$F$545,$F$560,)/($E$515*$F$515+E$523*$F$523+$E$531*$F$531+$E$545*$F$545+$E$560*$F$560),0)</f>
        <v>0.3</v>
      </c>
      <c r="J523" s="7">
        <f>IF(ISBLANK($D$523),0,VLOOKUP($D$523,$B$526:$C$529,2,0))</f>
        <v>0</v>
      </c>
      <c r="K523" s="7">
        <f>J523*G523</f>
        <v>0</v>
      </c>
      <c r="L523" s="7">
        <f>IF(ISBLANK(D523),0,IF(D523="Unknown",100*G523,J523*G523))</f>
        <v>0</v>
      </c>
      <c r="M523" s="63" t="str">
        <f>IF(D523=B529,"N/A",IF(D523=B528,"??",IF(D523=B527,"X",IF(D523=""," ","V"))))</f>
        <v xml:space="preserve"> </v>
      </c>
    </row>
    <row r="524" spans="1:13" hidden="1" outlineLevel="1" x14ac:dyDescent="0.25"/>
    <row r="525" spans="1:13" hidden="1" outlineLevel="1" x14ac:dyDescent="0.25">
      <c r="A525" s="15"/>
      <c r="B525" s="108" t="s">
        <v>15</v>
      </c>
      <c r="C525" s="108"/>
      <c r="D525" s="11"/>
      <c r="E525" s="11"/>
      <c r="F525" s="11"/>
      <c r="G525" s="11"/>
      <c r="H525" s="11"/>
      <c r="I525" s="11"/>
      <c r="J525" s="11"/>
      <c r="K525" s="11"/>
      <c r="L525" s="11"/>
      <c r="M525" s="65"/>
    </row>
    <row r="526" spans="1:13" hidden="1" outlineLevel="1" x14ac:dyDescent="0.25">
      <c r="B526" s="109" t="s">
        <v>19</v>
      </c>
      <c r="C526" s="109">
        <v>100</v>
      </c>
    </row>
    <row r="527" spans="1:13" hidden="1" outlineLevel="1" x14ac:dyDescent="0.25">
      <c r="B527" s="109" t="s">
        <v>20</v>
      </c>
      <c r="C527" s="109">
        <v>0</v>
      </c>
    </row>
    <row r="528" spans="1:13" hidden="1" outlineLevel="1" x14ac:dyDescent="0.25">
      <c r="B528" s="109" t="s">
        <v>13</v>
      </c>
      <c r="C528" s="109">
        <v>0</v>
      </c>
    </row>
    <row r="529" spans="1:13" hidden="1" outlineLevel="1" x14ac:dyDescent="0.25">
      <c r="B529" s="109" t="s">
        <v>35</v>
      </c>
      <c r="C529" s="109">
        <v>-1</v>
      </c>
    </row>
    <row r="530" spans="1:13" hidden="1" outlineLevel="1" x14ac:dyDescent="0.25"/>
    <row r="531" spans="1:13" collapsed="1" x14ac:dyDescent="0.25">
      <c r="A531" s="12" t="s">
        <v>183</v>
      </c>
      <c r="B531" s="7" t="s">
        <v>350</v>
      </c>
      <c r="C531" s="101"/>
      <c r="D531" s="111"/>
      <c r="E531" s="7">
        <f>IF($D531="N/A",0,1)</f>
        <v>1</v>
      </c>
      <c r="F531" s="30">
        <v>0.15</v>
      </c>
      <c r="G531" s="30">
        <f>IF(E531,F531*SUM($F$515,$F$523,$F$531,$F$545,$F$560,)/($E$515*$F$515+E$523*$F$523+$E$531*$F$531+$E$545*$F$545+$E$560*$F$560),0)</f>
        <v>0.15</v>
      </c>
      <c r="J531" s="7">
        <f>IF(ISBLANK($D$531),0,VLOOKUP($D$531,$B$537:$C$543,2,0))</f>
        <v>0</v>
      </c>
      <c r="K531" s="7">
        <f>J531*G531</f>
        <v>0</v>
      </c>
      <c r="L531" s="7">
        <f>IF(ISBLANK(D531),0,IF(D531="Unknown",100*G531,J531*G531))</f>
        <v>0</v>
      </c>
      <c r="M531" s="63" t="str">
        <f>IF(D531=B543,"N/A",IF(D531=B542,"??",IF(D531=B537,"X",IF(D531=""," ","V"))))</f>
        <v xml:space="preserve"> </v>
      </c>
    </row>
    <row r="532" spans="1:13" hidden="1" outlineLevel="1" x14ac:dyDescent="0.25"/>
    <row r="533" spans="1:13" hidden="1" outlineLevel="1" x14ac:dyDescent="0.25">
      <c r="A533" s="15"/>
      <c r="B533" s="108" t="s">
        <v>16</v>
      </c>
      <c r="C533" s="108"/>
      <c r="D533" s="11"/>
      <c r="E533" s="11"/>
      <c r="F533" s="11"/>
      <c r="G533" s="11"/>
      <c r="H533" s="11"/>
      <c r="I533" s="11"/>
      <c r="J533" s="11"/>
      <c r="K533" s="11"/>
      <c r="L533" s="11"/>
      <c r="M533" s="65"/>
    </row>
    <row r="534" spans="1:13" hidden="1" outlineLevel="1" x14ac:dyDescent="0.25">
      <c r="B534" s="109" t="s">
        <v>211</v>
      </c>
      <c r="C534" s="109"/>
    </row>
    <row r="535" spans="1:13" hidden="1" outlineLevel="1" x14ac:dyDescent="0.25">
      <c r="B535" s="109"/>
      <c r="C535" s="109"/>
    </row>
    <row r="536" spans="1:13" hidden="1" outlineLevel="1" x14ac:dyDescent="0.25">
      <c r="A536" s="15"/>
      <c r="B536" s="108" t="s">
        <v>15</v>
      </c>
      <c r="C536" s="108"/>
      <c r="D536" s="11"/>
      <c r="E536" s="11"/>
      <c r="F536" s="11"/>
      <c r="G536" s="11"/>
      <c r="H536" s="11"/>
      <c r="I536" s="11"/>
      <c r="J536" s="11"/>
      <c r="K536" s="11"/>
      <c r="L536" s="11"/>
      <c r="M536" s="65"/>
    </row>
    <row r="537" spans="1:13" hidden="1" outlineLevel="1" x14ac:dyDescent="0.25">
      <c r="B537" s="109" t="s">
        <v>212</v>
      </c>
      <c r="C537" s="109">
        <v>0</v>
      </c>
    </row>
    <row r="538" spans="1:13" hidden="1" outlineLevel="1" x14ac:dyDescent="0.25">
      <c r="B538" s="109" t="s">
        <v>213</v>
      </c>
      <c r="C538" s="109">
        <v>100</v>
      </c>
    </row>
    <row r="539" spans="1:13" hidden="1" outlineLevel="1" x14ac:dyDescent="0.25">
      <c r="B539" s="109" t="s">
        <v>214</v>
      </c>
      <c r="C539" s="109">
        <v>80</v>
      </c>
    </row>
    <row r="540" spans="1:13" hidden="1" outlineLevel="1" x14ac:dyDescent="0.25">
      <c r="B540" s="109" t="s">
        <v>215</v>
      </c>
      <c r="C540" s="109">
        <v>60</v>
      </c>
    </row>
    <row r="541" spans="1:13" hidden="1" outlineLevel="1" x14ac:dyDescent="0.25">
      <c r="B541" s="109" t="s">
        <v>221</v>
      </c>
      <c r="C541" s="109">
        <v>10</v>
      </c>
    </row>
    <row r="542" spans="1:13" hidden="1" outlineLevel="1" x14ac:dyDescent="0.25">
      <c r="B542" s="109" t="s">
        <v>13</v>
      </c>
      <c r="C542" s="109">
        <v>0</v>
      </c>
    </row>
    <row r="543" spans="1:13" hidden="1" outlineLevel="1" x14ac:dyDescent="0.25">
      <c r="B543" s="109" t="s">
        <v>35</v>
      </c>
      <c r="C543" s="109">
        <v>-1</v>
      </c>
    </row>
    <row r="544" spans="1:13" hidden="1" outlineLevel="1" x14ac:dyDescent="0.25"/>
    <row r="545" spans="1:13" collapsed="1" x14ac:dyDescent="0.25">
      <c r="A545" s="12" t="s">
        <v>222</v>
      </c>
      <c r="B545" s="7" t="s">
        <v>233</v>
      </c>
      <c r="C545" s="101"/>
      <c r="D545" s="111"/>
      <c r="E545" s="7">
        <f>IF($D545="N/A",0,1)</f>
        <v>1</v>
      </c>
      <c r="F545" s="30">
        <v>0.15</v>
      </c>
      <c r="G545" s="30">
        <f>IF(E545,F545*SUM($F$515,$F$523,$F$531,$F$545,$F$560,)/($E$515*$F$515+E$523*$F$523+$E$531*$F$531+$E$545*$F$545+$E$560*$F$560),0)</f>
        <v>0.15</v>
      </c>
      <c r="J545" s="7">
        <f>IF(ISBLANK($D$545),0,VLOOKUP($D$545,$B$551:$C$558,2,0))</f>
        <v>0</v>
      </c>
      <c r="K545" s="7">
        <f>J545*G545</f>
        <v>0</v>
      </c>
      <c r="L545" s="7">
        <f>IF(ISBLANK(D545),0,IF(D545="Unknown",100*G545,J545*G545))</f>
        <v>0</v>
      </c>
      <c r="M545" s="63" t="str">
        <f>IF(D545=B558,"N/A",IF(D545=B557,"??",IF(D545=B551,"X",IF(D545=""," ","V"))))</f>
        <v xml:space="preserve"> </v>
      </c>
    </row>
    <row r="546" spans="1:13" hidden="1" outlineLevel="1" x14ac:dyDescent="0.25"/>
    <row r="547" spans="1:13" hidden="1" outlineLevel="1" x14ac:dyDescent="0.25">
      <c r="A547" s="15"/>
      <c r="B547" s="108" t="s">
        <v>16</v>
      </c>
      <c r="C547" s="108"/>
      <c r="D547" s="11"/>
      <c r="E547" s="11"/>
      <c r="F547" s="11"/>
      <c r="G547" s="11"/>
      <c r="H547" s="11"/>
      <c r="I547" s="11"/>
      <c r="J547" s="11"/>
      <c r="K547" s="11"/>
      <c r="L547" s="11"/>
      <c r="M547" s="65"/>
    </row>
    <row r="548" spans="1:13" ht="30" hidden="1" outlineLevel="1" x14ac:dyDescent="0.25">
      <c r="B548" s="109" t="s">
        <v>218</v>
      </c>
      <c r="C548" s="109"/>
    </row>
    <row r="549" spans="1:13" hidden="1" outlineLevel="1" x14ac:dyDescent="0.25">
      <c r="B549" s="109"/>
      <c r="C549" s="109"/>
    </row>
    <row r="550" spans="1:13" hidden="1" outlineLevel="1" x14ac:dyDescent="0.25">
      <c r="A550" s="15"/>
      <c r="B550" s="108" t="s">
        <v>15</v>
      </c>
      <c r="C550" s="108"/>
      <c r="D550" s="11"/>
      <c r="E550" s="11"/>
      <c r="F550" s="11"/>
      <c r="G550" s="11"/>
      <c r="H550" s="11"/>
      <c r="I550" s="11"/>
      <c r="J550" s="11"/>
      <c r="K550" s="11"/>
      <c r="L550" s="11"/>
      <c r="M550" s="65"/>
    </row>
    <row r="551" spans="1:13" hidden="1" outlineLevel="1" x14ac:dyDescent="0.25">
      <c r="B551" s="109" t="s">
        <v>219</v>
      </c>
      <c r="C551" s="109">
        <v>0</v>
      </c>
    </row>
    <row r="552" spans="1:13" hidden="1" outlineLevel="1" x14ac:dyDescent="0.25">
      <c r="B552" s="109" t="s">
        <v>352</v>
      </c>
      <c r="C552" s="109">
        <v>100</v>
      </c>
    </row>
    <row r="553" spans="1:13" hidden="1" outlineLevel="1" x14ac:dyDescent="0.25">
      <c r="B553" s="109" t="s">
        <v>220</v>
      </c>
      <c r="C553" s="109">
        <v>90</v>
      </c>
    </row>
    <row r="554" spans="1:13" hidden="1" outlineLevel="1" x14ac:dyDescent="0.25">
      <c r="B554" s="109" t="s">
        <v>216</v>
      </c>
      <c r="C554" s="109">
        <v>50</v>
      </c>
    </row>
    <row r="555" spans="1:13" hidden="1" outlineLevel="1" x14ac:dyDescent="0.25">
      <c r="B555" s="109" t="s">
        <v>217</v>
      </c>
      <c r="C555" s="109">
        <v>20</v>
      </c>
    </row>
    <row r="556" spans="1:13" hidden="1" outlineLevel="1" x14ac:dyDescent="0.25">
      <c r="B556" s="109" t="s">
        <v>351</v>
      </c>
      <c r="C556" s="109">
        <v>10</v>
      </c>
    </row>
    <row r="557" spans="1:13" hidden="1" outlineLevel="1" x14ac:dyDescent="0.25">
      <c r="B557" s="109" t="s">
        <v>13</v>
      </c>
      <c r="C557" s="109">
        <v>0</v>
      </c>
    </row>
    <row r="558" spans="1:13" hidden="1" outlineLevel="1" x14ac:dyDescent="0.25">
      <c r="B558" s="109" t="s">
        <v>35</v>
      </c>
      <c r="C558" s="109">
        <v>-1</v>
      </c>
    </row>
    <row r="559" spans="1:13" hidden="1" outlineLevel="1" x14ac:dyDescent="0.25"/>
    <row r="560" spans="1:13" collapsed="1" x14ac:dyDescent="0.25">
      <c r="A560" s="12" t="s">
        <v>223</v>
      </c>
      <c r="B560" s="7" t="s">
        <v>353</v>
      </c>
      <c r="C560" s="101"/>
      <c r="D560" s="111"/>
      <c r="E560" s="7">
        <f>IF($D560="N/A",0,1)</f>
        <v>1</v>
      </c>
      <c r="F560" s="30">
        <v>0.1</v>
      </c>
      <c r="G560" s="30">
        <f>IF(E560,F560*SUM($F$515,$F$523,$F$531,$F$545,$F$560,)/($E$515*$F$515+E$523*$F$523+$E$531*$F$531+$E$545*$F$545+$E$560*$F$560),0)</f>
        <v>0.1</v>
      </c>
      <c r="J560" s="7">
        <f>IF(ISBLANK($D$560),0,VLOOKUP($D$560,$B$563:$C$568,2,0))</f>
        <v>0</v>
      </c>
      <c r="K560" s="7">
        <f>J560*G560</f>
        <v>0</v>
      </c>
      <c r="L560" s="7">
        <f>IF(ISBLANK(D560),0,IF(D560="Unknown",100*G560,J560*G560))</f>
        <v>0</v>
      </c>
      <c r="M560" s="63" t="str">
        <f>IF(D560=B568,"N/A",IF(D560=B567,"??",IF(D560=B566,"X",IF(D560=""," ","V"))))</f>
        <v xml:space="preserve"> </v>
      </c>
    </row>
    <row r="561" spans="1:13" hidden="1" outlineLevel="1" x14ac:dyDescent="0.25"/>
    <row r="562" spans="1:13" hidden="1" outlineLevel="1" x14ac:dyDescent="0.25">
      <c r="A562" s="15"/>
      <c r="B562" s="108" t="s">
        <v>15</v>
      </c>
      <c r="C562" s="108"/>
      <c r="D562" s="11"/>
      <c r="E562" s="11"/>
      <c r="F562" s="11"/>
      <c r="G562" s="11"/>
      <c r="H562" s="11"/>
      <c r="I562" s="11"/>
      <c r="J562" s="11"/>
      <c r="K562" s="11"/>
      <c r="L562" s="11"/>
      <c r="M562" s="65"/>
    </row>
    <row r="563" spans="1:13" hidden="1" outlineLevel="1" x14ac:dyDescent="0.25">
      <c r="B563" s="109" t="s">
        <v>354</v>
      </c>
      <c r="C563" s="109">
        <v>100</v>
      </c>
    </row>
    <row r="564" spans="1:13" hidden="1" outlineLevel="1" x14ac:dyDescent="0.25">
      <c r="B564" s="109" t="s">
        <v>356</v>
      </c>
      <c r="C564" s="109">
        <v>90</v>
      </c>
    </row>
    <row r="565" spans="1:13" hidden="1" outlineLevel="1" x14ac:dyDescent="0.25">
      <c r="B565" s="109" t="s">
        <v>355</v>
      </c>
      <c r="C565" s="109">
        <v>50</v>
      </c>
    </row>
    <row r="566" spans="1:13" hidden="1" outlineLevel="1" x14ac:dyDescent="0.25">
      <c r="B566" s="109" t="s">
        <v>20</v>
      </c>
      <c r="C566" s="109">
        <v>0</v>
      </c>
    </row>
    <row r="567" spans="1:13" hidden="1" outlineLevel="1" x14ac:dyDescent="0.25">
      <c r="B567" s="109" t="s">
        <v>13</v>
      </c>
      <c r="C567" s="109">
        <v>0</v>
      </c>
    </row>
    <row r="568" spans="1:13" hidden="1" outlineLevel="1" x14ac:dyDescent="0.25">
      <c r="B568" s="109" t="s">
        <v>35</v>
      </c>
      <c r="C568" s="109">
        <v>-1</v>
      </c>
    </row>
    <row r="569" spans="1:13" hidden="1" outlineLevel="1" x14ac:dyDescent="0.25"/>
    <row r="570" spans="1:13" x14ac:dyDescent="0.25">
      <c r="A570" s="14" t="s">
        <v>118</v>
      </c>
      <c r="B570" s="10" t="s">
        <v>120</v>
      </c>
      <c r="C570" s="10"/>
      <c r="D570" s="10"/>
      <c r="E570" s="17">
        <f>IF(AND($D$571="N/A",$D$579="N/A",$D$587="N/A"),0,1)</f>
        <v>1</v>
      </c>
      <c r="F570" s="31">
        <f>(F571+F579+F587)</f>
        <v>1</v>
      </c>
      <c r="G570" s="31">
        <f>(G571+G579+G587)</f>
        <v>1</v>
      </c>
      <c r="H570" s="31">
        <v>0.33</v>
      </c>
      <c r="I570" s="31">
        <f>IF(E570,H570*SUM($H$514,$H$570,$H$597)/($E$514*$H$514+$E$570*$H$570+$E$597*$H$597),0)</f>
        <v>0.33</v>
      </c>
      <c r="J570" s="31"/>
      <c r="K570" s="31">
        <f>(K571+K579+K587)*I570/100</f>
        <v>0</v>
      </c>
      <c r="L570" s="31">
        <f>(L571+L579+L587)*I570/100</f>
        <v>0</v>
      </c>
      <c r="M570" s="64"/>
    </row>
    <row r="571" spans="1:13" ht="30" collapsed="1" x14ac:dyDescent="0.25">
      <c r="A571" s="12" t="s">
        <v>119</v>
      </c>
      <c r="B571" s="7" t="s">
        <v>272</v>
      </c>
      <c r="C571" s="101"/>
      <c r="D571" s="111"/>
      <c r="E571" s="7">
        <f>IF($D571="N/A",0,1)</f>
        <v>1</v>
      </c>
      <c r="F571" s="30">
        <v>0.4</v>
      </c>
      <c r="G571" s="30">
        <f>IF(E571,F571*SUM($F$571,$F$579,$F$587,)/($E$571*$F$571+$E$579*$F$579+$E$587*$F$587),0)</f>
        <v>0.4</v>
      </c>
      <c r="J571" s="7">
        <f>IF(ISBLANK($D$571),0,VLOOKUP($D$571,$B$574:$C$577,2,0))</f>
        <v>0</v>
      </c>
      <c r="K571" s="7">
        <f>J571*G571</f>
        <v>0</v>
      </c>
      <c r="L571" s="7">
        <f>IF(ISBLANK(D571),0,IF(D571="Unknown",100*G571,J571*G571))</f>
        <v>0</v>
      </c>
      <c r="M571" s="63" t="str">
        <f>IF(D571=B574,"V",IF(D571=B575,"V",IF(D571=B577,"??",IF(D571=B576,"X", " "))))</f>
        <v xml:space="preserve"> </v>
      </c>
    </row>
    <row r="572" spans="1:13" hidden="1" outlineLevel="1" x14ac:dyDescent="0.25"/>
    <row r="573" spans="1:13" hidden="1" outlineLevel="1" x14ac:dyDescent="0.25">
      <c r="A573" s="15"/>
      <c r="B573" s="108" t="s">
        <v>15</v>
      </c>
      <c r="C573" s="108"/>
      <c r="D573" s="11"/>
      <c r="E573" s="11"/>
      <c r="F573" s="11"/>
      <c r="G573" s="11"/>
      <c r="H573" s="11"/>
      <c r="I573" s="11"/>
      <c r="J573" s="11"/>
      <c r="K573" s="11"/>
      <c r="L573" s="11"/>
      <c r="M573" s="65"/>
    </row>
    <row r="574" spans="1:13" hidden="1" outlineLevel="1" x14ac:dyDescent="0.25">
      <c r="B574" s="109" t="s">
        <v>357</v>
      </c>
      <c r="C574" s="109">
        <v>100</v>
      </c>
    </row>
    <row r="575" spans="1:13" hidden="1" outlineLevel="1" x14ac:dyDescent="0.25">
      <c r="B575" s="109" t="s">
        <v>271</v>
      </c>
      <c r="C575" s="109">
        <v>60</v>
      </c>
    </row>
    <row r="576" spans="1:13" hidden="1" outlineLevel="1" x14ac:dyDescent="0.25">
      <c r="B576" s="109" t="s">
        <v>20</v>
      </c>
      <c r="C576" s="109">
        <v>0</v>
      </c>
    </row>
    <row r="577" spans="1:13" hidden="1" outlineLevel="1" x14ac:dyDescent="0.25">
      <c r="B577" s="109" t="s">
        <v>13</v>
      </c>
      <c r="C577" s="109">
        <v>0</v>
      </c>
    </row>
    <row r="578" spans="1:13" hidden="1" outlineLevel="1" x14ac:dyDescent="0.25"/>
    <row r="579" spans="1:13" ht="30" collapsed="1" x14ac:dyDescent="0.25">
      <c r="A579" s="12" t="s">
        <v>121</v>
      </c>
      <c r="B579" s="7" t="s">
        <v>358</v>
      </c>
      <c r="C579" s="101"/>
      <c r="D579" s="111"/>
      <c r="E579" s="7">
        <f>IF($D579="N/A",0,1)</f>
        <v>1</v>
      </c>
      <c r="F579" s="30">
        <v>0.4</v>
      </c>
      <c r="G579" s="30">
        <f>IF(E579,F579*SUM($F$571,$F$579,$F$587,)/($E$571*$F$571+$E$579*$F$579+$E$587*$F$587),0)</f>
        <v>0.4</v>
      </c>
      <c r="J579" s="7">
        <f>IF(ISBLANK($D$579),0,VLOOKUP($D$579,$B$582:$C$585,2,0))</f>
        <v>0</v>
      </c>
      <c r="K579" s="7">
        <f>J579*G579</f>
        <v>0</v>
      </c>
      <c r="L579" s="7">
        <f>IF(ISBLANK(D579),0,IF(D579="Unknown",100*G579,J579*G579))</f>
        <v>0</v>
      </c>
      <c r="M579" s="63" t="str">
        <f>IF(D579=B582,"V",IF(D579=B583,"V",IF(D579=B585,"??",IF(D579=B584,"X", " "))))</f>
        <v xml:space="preserve"> </v>
      </c>
    </row>
    <row r="580" spans="1:13" hidden="1" outlineLevel="1" x14ac:dyDescent="0.25"/>
    <row r="581" spans="1:13" hidden="1" outlineLevel="1" x14ac:dyDescent="0.25">
      <c r="A581" s="15"/>
      <c r="B581" s="108" t="s">
        <v>15</v>
      </c>
      <c r="C581" s="108"/>
      <c r="D581" s="11"/>
      <c r="E581" s="11"/>
      <c r="F581" s="11"/>
      <c r="G581" s="11"/>
      <c r="H581" s="11"/>
      <c r="I581" s="11"/>
      <c r="J581" s="11"/>
      <c r="K581" s="11"/>
      <c r="L581" s="11"/>
      <c r="M581" s="65"/>
    </row>
    <row r="582" spans="1:13" hidden="1" outlineLevel="1" x14ac:dyDescent="0.25">
      <c r="B582" s="109" t="s">
        <v>359</v>
      </c>
      <c r="C582" s="109">
        <v>100</v>
      </c>
    </row>
    <row r="583" spans="1:13" hidden="1" outlineLevel="1" x14ac:dyDescent="0.25">
      <c r="B583" s="109" t="s">
        <v>360</v>
      </c>
      <c r="C583" s="109">
        <v>75</v>
      </c>
    </row>
    <row r="584" spans="1:13" hidden="1" outlineLevel="1" x14ac:dyDescent="0.25">
      <c r="B584" s="109" t="s">
        <v>20</v>
      </c>
      <c r="C584" s="109">
        <v>0</v>
      </c>
    </row>
    <row r="585" spans="1:13" hidden="1" outlineLevel="1" x14ac:dyDescent="0.25">
      <c r="B585" s="109" t="s">
        <v>13</v>
      </c>
      <c r="C585" s="109">
        <v>0</v>
      </c>
    </row>
    <row r="586" spans="1:13" hidden="1" outlineLevel="1" x14ac:dyDescent="0.25"/>
    <row r="587" spans="1:13" ht="30" collapsed="1" x14ac:dyDescent="0.25">
      <c r="A587" s="12" t="s">
        <v>122</v>
      </c>
      <c r="B587" s="7" t="s">
        <v>203</v>
      </c>
      <c r="C587" s="101"/>
      <c r="D587" s="111"/>
      <c r="E587" s="7">
        <f>IF($D587="N/A",0,1)</f>
        <v>1</v>
      </c>
      <c r="F587" s="30">
        <v>0.2</v>
      </c>
      <c r="G587" s="30">
        <f>IF(E587,F587*SUM($F$571,$F$579,$F$587,)/($E$571*$F$571+$E$579*$F$579+$E$587*$F$587),0)</f>
        <v>0.2</v>
      </c>
      <c r="J587" s="7">
        <f>IF(ISBLANK($D$587),0,VLOOKUP($D$587,$B$593:$C$595,2,0))</f>
        <v>0</v>
      </c>
      <c r="K587" s="7">
        <f>J587*G587</f>
        <v>0</v>
      </c>
      <c r="L587" s="7">
        <f>IF(ISBLANK(D587),0,IF(D587="Unknown",100*G587,J587*G587))</f>
        <v>0</v>
      </c>
      <c r="M587" s="63" t="str">
        <f>IF(D587=B593,"V",IF(D587=B595,"??",IF(D587=B594,"X", " ")))</f>
        <v xml:space="preserve"> </v>
      </c>
    </row>
    <row r="588" spans="1:13" hidden="1" outlineLevel="1" x14ac:dyDescent="0.25"/>
    <row r="589" spans="1:13" hidden="1" outlineLevel="1" x14ac:dyDescent="0.25">
      <c r="A589" s="15"/>
      <c r="B589" s="108" t="s">
        <v>16</v>
      </c>
      <c r="C589" s="108"/>
      <c r="D589" s="11"/>
      <c r="E589" s="11"/>
      <c r="F589" s="11"/>
      <c r="G589" s="11"/>
      <c r="H589" s="11"/>
      <c r="I589" s="11"/>
      <c r="J589" s="11"/>
      <c r="K589" s="11"/>
      <c r="L589" s="11"/>
      <c r="M589" s="65"/>
    </row>
    <row r="590" spans="1:13" hidden="1" outlineLevel="1" x14ac:dyDescent="0.25">
      <c r="B590" s="109" t="s">
        <v>123</v>
      </c>
      <c r="C590" s="109"/>
    </row>
    <row r="591" spans="1:13" hidden="1" outlineLevel="1" x14ac:dyDescent="0.25">
      <c r="B591" s="109"/>
      <c r="C591" s="109"/>
    </row>
    <row r="592" spans="1:13" hidden="1" outlineLevel="1" x14ac:dyDescent="0.25">
      <c r="A592" s="15"/>
      <c r="B592" s="108" t="s">
        <v>15</v>
      </c>
      <c r="C592" s="108"/>
      <c r="D592" s="11"/>
      <c r="E592" s="11"/>
      <c r="F592" s="11"/>
      <c r="G592" s="11"/>
      <c r="H592" s="11"/>
      <c r="I592" s="11"/>
      <c r="J592" s="11"/>
      <c r="K592" s="11"/>
      <c r="L592" s="11"/>
      <c r="M592" s="65"/>
    </row>
    <row r="593" spans="1:13" hidden="1" outlineLevel="1" x14ac:dyDescent="0.25">
      <c r="B593" s="109" t="s">
        <v>19</v>
      </c>
      <c r="C593" s="109">
        <v>100</v>
      </c>
    </row>
    <row r="594" spans="1:13" hidden="1" outlineLevel="1" x14ac:dyDescent="0.25">
      <c r="B594" s="109" t="s">
        <v>20</v>
      </c>
      <c r="C594" s="109">
        <v>0</v>
      </c>
    </row>
    <row r="595" spans="1:13" hidden="1" outlineLevel="1" x14ac:dyDescent="0.25">
      <c r="B595" s="109" t="s">
        <v>13</v>
      </c>
      <c r="C595" s="109">
        <v>0</v>
      </c>
    </row>
    <row r="596" spans="1:13" hidden="1" outlineLevel="1" x14ac:dyDescent="0.25"/>
    <row r="597" spans="1:13" x14ac:dyDescent="0.25">
      <c r="A597" s="14" t="s">
        <v>230</v>
      </c>
      <c r="B597" s="10" t="s">
        <v>361</v>
      </c>
      <c r="C597" s="10"/>
      <c r="D597" s="10"/>
      <c r="E597" s="17">
        <f>IF(AND($D$598="N/A",$D$609="N/A",$D$619="N/A",$D$629="N/A"),0,1)</f>
        <v>1</v>
      </c>
      <c r="F597" s="31">
        <f>(F598+F609+F619+F629)</f>
        <v>1</v>
      </c>
      <c r="G597" s="31">
        <f>(G598+G609+G619+G629)</f>
        <v>1</v>
      </c>
      <c r="H597" s="31">
        <v>0.33</v>
      </c>
      <c r="I597" s="31">
        <f>IF(E597,H597*SUM($H$514,$H$570,$H$597)/($E$514*$H$514+$E$570*$H$570+$E$597*$H$597),0)</f>
        <v>0.33</v>
      </c>
      <c r="J597" s="31"/>
      <c r="K597" s="31">
        <f>(K598+K609+K619+K629)*I597/100</f>
        <v>0</v>
      </c>
      <c r="L597" s="31">
        <f>(L598+L609)*I597/100</f>
        <v>0</v>
      </c>
      <c r="M597" s="64"/>
    </row>
    <row r="598" spans="1:13" ht="30" collapsed="1" x14ac:dyDescent="0.25">
      <c r="A598" s="12" t="s">
        <v>231</v>
      </c>
      <c r="B598" s="7" t="s">
        <v>362</v>
      </c>
      <c r="C598" s="101"/>
      <c r="D598" s="111"/>
      <c r="E598" s="7">
        <f>IF($D598="N/A",0,1)</f>
        <v>1</v>
      </c>
      <c r="F598" s="30">
        <v>0.4</v>
      </c>
      <c r="G598" s="30">
        <f>IF(E598,F598*SUM($F$598,$F$609,F$619,F$629)/($E$598*$F$598+$E$609*$F$609+$E$619*$F$619+$E$629*$F$629),0)</f>
        <v>0.4</v>
      </c>
      <c r="J598" s="7">
        <f>IF(ISBLANK($D$598),0,VLOOKUP($D$598,$B$604:$C$607,2,0))</f>
        <v>0</v>
      </c>
      <c r="K598" s="7">
        <f>J598*G598</f>
        <v>0</v>
      </c>
      <c r="L598" s="7">
        <f>IF(ISBLANK(D598),0,IF(D598="Unknown",100*G598,J598*G598))</f>
        <v>0</v>
      </c>
      <c r="M598" s="63" t="str">
        <f>IF(D598=B604,"V",IF(D598=B605,"V",IF(D598=B607,"??",IF(D598=B606,"X", " "))))</f>
        <v xml:space="preserve"> </v>
      </c>
    </row>
    <row r="599" spans="1:13" hidden="1" outlineLevel="1" x14ac:dyDescent="0.25"/>
    <row r="600" spans="1:13" hidden="1" outlineLevel="1" x14ac:dyDescent="0.25">
      <c r="A600" s="15"/>
      <c r="B600" s="108" t="s">
        <v>16</v>
      </c>
      <c r="C600" s="108"/>
      <c r="D600" s="11"/>
      <c r="E600" s="11"/>
      <c r="F600" s="11"/>
      <c r="G600" s="11"/>
      <c r="H600" s="11"/>
      <c r="I600" s="11"/>
      <c r="J600" s="11"/>
      <c r="K600" s="11"/>
      <c r="L600" s="11"/>
      <c r="M600" s="65"/>
    </row>
    <row r="601" spans="1:13" ht="30" hidden="1" outlineLevel="1" x14ac:dyDescent="0.25">
      <c r="B601" s="109" t="s">
        <v>363</v>
      </c>
      <c r="C601" s="109"/>
    </row>
    <row r="602" spans="1:13" hidden="1" outlineLevel="1" x14ac:dyDescent="0.25">
      <c r="B602" s="109"/>
      <c r="C602" s="109"/>
    </row>
    <row r="603" spans="1:13" hidden="1" outlineLevel="1" x14ac:dyDescent="0.25">
      <c r="A603" s="15"/>
      <c r="B603" s="108" t="s">
        <v>15</v>
      </c>
      <c r="C603" s="108"/>
      <c r="D603" s="11"/>
      <c r="E603" s="11"/>
      <c r="F603" s="11"/>
      <c r="G603" s="11"/>
      <c r="H603" s="11"/>
      <c r="I603" s="11"/>
      <c r="J603" s="11"/>
      <c r="K603" s="11"/>
      <c r="L603" s="11"/>
      <c r="M603" s="65"/>
    </row>
    <row r="604" spans="1:13" hidden="1" outlineLevel="1" x14ac:dyDescent="0.25">
      <c r="B604" s="109" t="s">
        <v>364</v>
      </c>
      <c r="C604" s="109">
        <v>100</v>
      </c>
    </row>
    <row r="605" spans="1:13" hidden="1" outlineLevel="1" x14ac:dyDescent="0.25">
      <c r="B605" s="109" t="s">
        <v>365</v>
      </c>
      <c r="C605" s="109">
        <v>90</v>
      </c>
    </row>
    <row r="606" spans="1:13" hidden="1" outlineLevel="1" x14ac:dyDescent="0.25">
      <c r="B606" s="109" t="s">
        <v>20</v>
      </c>
      <c r="C606" s="109">
        <v>0</v>
      </c>
    </row>
    <row r="607" spans="1:13" hidden="1" outlineLevel="1" x14ac:dyDescent="0.25">
      <c r="B607" s="109" t="s">
        <v>13</v>
      </c>
      <c r="C607" s="109">
        <v>0</v>
      </c>
    </row>
    <row r="608" spans="1:13" hidden="1" outlineLevel="1" x14ac:dyDescent="0.25"/>
    <row r="609" spans="1:13" collapsed="1" x14ac:dyDescent="0.25">
      <c r="A609" s="12" t="s">
        <v>232</v>
      </c>
      <c r="B609" s="7" t="s">
        <v>100</v>
      </c>
      <c r="C609" s="101"/>
      <c r="D609" s="111"/>
      <c r="E609" s="7">
        <f>IF($D$609="N/A",0,1)</f>
        <v>1</v>
      </c>
      <c r="F609" s="30">
        <v>0.2</v>
      </c>
      <c r="G609" s="30">
        <f t="shared" ref="G609:G629" si="1">IF(E609,F609*SUM($F$598,$F$609,F$619,F$629)/($E$598*$F$598+$E$609*$F$609+$E$619*$F$619+$E$629*$F$629),0)</f>
        <v>0.2</v>
      </c>
      <c r="J609" s="7">
        <f>IF(ISBLANK($D$609),0,VLOOKUP($D$609,$B$615:$C$617,2,0))</f>
        <v>0</v>
      </c>
      <c r="K609" s="7">
        <f>J609*G609</f>
        <v>0</v>
      </c>
      <c r="L609" s="7">
        <f>IF(ISBLANK(D609),0,IF(D609="Unknown",100*G609,J609*G609))</f>
        <v>0</v>
      </c>
      <c r="M609" s="63" t="str">
        <f>IF(D609=B615,"V",IF(D609=B617,"??",IF(D609=B616,"X"," ")))</f>
        <v xml:space="preserve"> </v>
      </c>
    </row>
    <row r="610" spans="1:13" hidden="1" outlineLevel="1" x14ac:dyDescent="0.25"/>
    <row r="611" spans="1:13" hidden="1" outlineLevel="1" x14ac:dyDescent="0.25">
      <c r="A611" s="15"/>
      <c r="B611" s="108" t="s">
        <v>16</v>
      </c>
      <c r="C611" s="108"/>
      <c r="D611" s="11"/>
      <c r="E611" s="11"/>
      <c r="F611" s="11"/>
      <c r="G611" s="11"/>
      <c r="H611" s="11"/>
      <c r="I611" s="11"/>
      <c r="J611" s="11"/>
      <c r="K611" s="11"/>
      <c r="L611" s="11"/>
      <c r="M611" s="65"/>
    </row>
    <row r="612" spans="1:13" hidden="1" outlineLevel="1" x14ac:dyDescent="0.25">
      <c r="B612" s="109" t="s">
        <v>104</v>
      </c>
      <c r="C612" s="109"/>
    </row>
    <row r="613" spans="1:13" hidden="1" outlineLevel="1" x14ac:dyDescent="0.25">
      <c r="B613" s="109"/>
      <c r="C613" s="109"/>
    </row>
    <row r="614" spans="1:13" hidden="1" outlineLevel="1" x14ac:dyDescent="0.25">
      <c r="A614" s="15"/>
      <c r="B614" s="108" t="s">
        <v>15</v>
      </c>
      <c r="C614" s="108"/>
      <c r="D614" s="11"/>
      <c r="E614" s="11"/>
      <c r="F614" s="11"/>
      <c r="G614" s="11"/>
      <c r="H614" s="11"/>
      <c r="I614" s="11"/>
      <c r="J614" s="11"/>
      <c r="K614" s="11"/>
      <c r="L614" s="11"/>
      <c r="M614" s="65"/>
    </row>
    <row r="615" spans="1:13" hidden="1" outlineLevel="1" x14ac:dyDescent="0.25">
      <c r="B615" s="109" t="s">
        <v>19</v>
      </c>
      <c r="C615" s="109">
        <v>100</v>
      </c>
    </row>
    <row r="616" spans="1:13" hidden="1" outlineLevel="1" x14ac:dyDescent="0.25">
      <c r="B616" s="109" t="s">
        <v>20</v>
      </c>
      <c r="C616" s="109">
        <v>0</v>
      </c>
    </row>
    <row r="617" spans="1:13" hidden="1" outlineLevel="1" x14ac:dyDescent="0.25">
      <c r="B617" s="109" t="s">
        <v>13</v>
      </c>
      <c r="C617" s="109">
        <v>0</v>
      </c>
    </row>
    <row r="618" spans="1:13" hidden="1" outlineLevel="1" x14ac:dyDescent="0.25"/>
    <row r="619" spans="1:13" ht="30" collapsed="1" x14ac:dyDescent="0.25">
      <c r="A619" s="12" t="s">
        <v>369</v>
      </c>
      <c r="B619" s="7" t="s">
        <v>99</v>
      </c>
      <c r="C619" s="101"/>
      <c r="D619" s="111"/>
      <c r="E619" s="7">
        <f>IF($D$619="N/A",0,1)</f>
        <v>1</v>
      </c>
      <c r="F619" s="30">
        <v>0.2</v>
      </c>
      <c r="G619" s="30">
        <f>IF(E619,F619*SUM($F$598,$F$609,F$619,F$629)/($E$598*$F$598+$E$609*$F$609+$E$619*$F$619+$E$629*$F$629),0)</f>
        <v>0.2</v>
      </c>
      <c r="J619" s="7">
        <f>IF(ISBLANK($D$619),0,VLOOKUP($D$619,$B$625:$C$627,2,0))</f>
        <v>0</v>
      </c>
      <c r="K619" s="7">
        <f>J619*G619</f>
        <v>0</v>
      </c>
      <c r="L619" s="7">
        <f>IF(ISBLANK(D619),0,IF(D619="Unknown",100*G619,J619*G619))</f>
        <v>0</v>
      </c>
      <c r="M619" s="63" t="str">
        <f>IF(D619=B625,"V",IF(D619=B627,"??",IF(D619=B626,"X"," ")))</f>
        <v xml:space="preserve"> </v>
      </c>
    </row>
    <row r="620" spans="1:13" hidden="1" outlineLevel="1" x14ac:dyDescent="0.25"/>
    <row r="621" spans="1:13" hidden="1" outlineLevel="1" x14ac:dyDescent="0.25">
      <c r="A621" s="15"/>
      <c r="B621" s="108" t="s">
        <v>16</v>
      </c>
      <c r="C621" s="108"/>
      <c r="D621" s="11"/>
      <c r="E621" s="11"/>
      <c r="F621" s="11"/>
      <c r="G621" s="11"/>
      <c r="H621" s="11"/>
      <c r="I621" s="11"/>
      <c r="J621" s="11"/>
      <c r="K621" s="11"/>
      <c r="L621" s="11"/>
      <c r="M621" s="65"/>
    </row>
    <row r="622" spans="1:13" hidden="1" outlineLevel="1" x14ac:dyDescent="0.25">
      <c r="B622" s="109" t="s">
        <v>104</v>
      </c>
      <c r="C622" s="109"/>
    </row>
    <row r="623" spans="1:13" hidden="1" outlineLevel="1" x14ac:dyDescent="0.25">
      <c r="B623" s="109"/>
      <c r="C623" s="109"/>
    </row>
    <row r="624" spans="1:13" hidden="1" outlineLevel="1" x14ac:dyDescent="0.25">
      <c r="A624" s="15"/>
      <c r="B624" s="108" t="s">
        <v>15</v>
      </c>
      <c r="C624" s="108"/>
      <c r="D624" s="11"/>
      <c r="E624" s="11"/>
      <c r="F624" s="11"/>
      <c r="G624" s="11"/>
      <c r="H624" s="11"/>
      <c r="I624" s="11"/>
      <c r="J624" s="11"/>
      <c r="K624" s="11"/>
      <c r="L624" s="11"/>
      <c r="M624" s="65"/>
    </row>
    <row r="625" spans="1:13" hidden="1" outlineLevel="1" x14ac:dyDescent="0.25">
      <c r="B625" s="109" t="s">
        <v>19</v>
      </c>
      <c r="C625" s="109">
        <v>100</v>
      </c>
    </row>
    <row r="626" spans="1:13" hidden="1" outlineLevel="1" x14ac:dyDescent="0.25">
      <c r="B626" s="109" t="s">
        <v>20</v>
      </c>
      <c r="C626" s="109">
        <v>0</v>
      </c>
    </row>
    <row r="627" spans="1:13" hidden="1" outlineLevel="1" x14ac:dyDescent="0.25">
      <c r="B627" s="109" t="s">
        <v>13</v>
      </c>
      <c r="C627" s="109">
        <v>0</v>
      </c>
    </row>
    <row r="628" spans="1:13" hidden="1" outlineLevel="1" x14ac:dyDescent="0.25"/>
    <row r="629" spans="1:13" collapsed="1" x14ac:dyDescent="0.25">
      <c r="A629" s="12" t="s">
        <v>370</v>
      </c>
      <c r="B629" s="7" t="s">
        <v>234</v>
      </c>
      <c r="C629" s="101"/>
      <c r="D629" s="111"/>
      <c r="E629" s="7">
        <f>IF($D$629="N/A",0,1)</f>
        <v>1</v>
      </c>
      <c r="F629" s="30">
        <v>0.2</v>
      </c>
      <c r="G629" s="30">
        <f t="shared" si="1"/>
        <v>0.2</v>
      </c>
      <c r="J629" s="7">
        <f>IF(ISBLANK($D$629),0,VLOOKUP($D$629,$B$635:$C$640,2,0))</f>
        <v>0</v>
      </c>
      <c r="K629" s="7">
        <f>J629*G629</f>
        <v>0</v>
      </c>
      <c r="L629" s="7">
        <f>IF(ISBLANK(D629),0,IF(D629="Unknown",100*G629,J629*G629))</f>
        <v>0</v>
      </c>
      <c r="M629" s="63" t="str">
        <f>IF(D629=B635,"X",IF(D629=B640,"??",IF(D629=""," ","V")))</f>
        <v xml:space="preserve"> </v>
      </c>
    </row>
    <row r="630" spans="1:13" ht="15" hidden="1" customHeight="1" outlineLevel="1" x14ac:dyDescent="0.25"/>
    <row r="631" spans="1:13" ht="15" hidden="1" customHeight="1" outlineLevel="1" x14ac:dyDescent="0.25">
      <c r="A631" s="15"/>
      <c r="B631" s="108" t="s">
        <v>16</v>
      </c>
      <c r="C631" s="108"/>
      <c r="D631" s="11"/>
      <c r="E631" s="11"/>
      <c r="F631" s="11"/>
      <c r="G631" s="11"/>
      <c r="H631" s="11"/>
      <c r="I631" s="11"/>
      <c r="J631" s="11"/>
      <c r="K631" s="11"/>
      <c r="L631" s="11"/>
      <c r="M631" s="65"/>
    </row>
    <row r="632" spans="1:13" ht="73.5" hidden="1" customHeight="1" outlineLevel="1" x14ac:dyDescent="0.25">
      <c r="B632" s="109" t="s">
        <v>318</v>
      </c>
      <c r="C632" s="109"/>
    </row>
    <row r="633" spans="1:13" ht="15" hidden="1" customHeight="1" outlineLevel="1" x14ac:dyDescent="0.25">
      <c r="B633" s="109"/>
      <c r="C633" s="109"/>
    </row>
    <row r="634" spans="1:13" ht="15" hidden="1" customHeight="1" outlineLevel="1" x14ac:dyDescent="0.25">
      <c r="A634" s="15"/>
      <c r="B634" s="108" t="s">
        <v>15</v>
      </c>
      <c r="C634" s="108"/>
      <c r="D634" s="11"/>
      <c r="E634" s="11"/>
      <c r="F634" s="11"/>
      <c r="G634" s="11"/>
      <c r="H634" s="11"/>
      <c r="I634" s="11"/>
      <c r="J634" s="11"/>
      <c r="K634" s="11"/>
      <c r="L634" s="11"/>
      <c r="M634" s="65"/>
    </row>
    <row r="635" spans="1:13" hidden="1" outlineLevel="1" x14ac:dyDescent="0.25">
      <c r="B635" s="109" t="s">
        <v>20</v>
      </c>
      <c r="C635" s="109">
        <v>0</v>
      </c>
    </row>
    <row r="636" spans="1:13" hidden="1" outlineLevel="1" x14ac:dyDescent="0.25">
      <c r="B636" s="109" t="s">
        <v>257</v>
      </c>
      <c r="C636" s="109">
        <v>100</v>
      </c>
    </row>
    <row r="637" spans="1:13" hidden="1" outlineLevel="1" x14ac:dyDescent="0.25">
      <c r="B637" s="109" t="s">
        <v>258</v>
      </c>
      <c r="C637" s="109">
        <v>80</v>
      </c>
    </row>
    <row r="638" spans="1:13" hidden="1" outlineLevel="1" x14ac:dyDescent="0.25">
      <c r="B638" s="109" t="s">
        <v>259</v>
      </c>
      <c r="C638" s="109">
        <v>60</v>
      </c>
    </row>
    <row r="639" spans="1:13" hidden="1" outlineLevel="1" x14ac:dyDescent="0.25">
      <c r="B639" s="109" t="s">
        <v>260</v>
      </c>
      <c r="C639" s="109">
        <v>30</v>
      </c>
    </row>
    <row r="640" spans="1:13" hidden="1" outlineLevel="1" x14ac:dyDescent="0.25">
      <c r="B640" s="109" t="s">
        <v>13</v>
      </c>
      <c r="C640" s="109">
        <v>0</v>
      </c>
    </row>
    <row r="641" hidden="1" outlineLevel="1" x14ac:dyDescent="0.25"/>
  </sheetData>
  <sheetProtection algorithmName="SHA-512" hashValue="tGurjF0BxGk7cbLj2hsiAaoxm1Ltq0zc/vz1Apa40kYWw5YP43IFuTNQC5JrEhnIeDC83ZYo3t1P9I5cpKxReA==" saltValue="BvCwmHG9Bdzqr0aThnghwg==" spinCount="100000" sheet="1" objects="1" scenarios="1" formatCells="0" formatColumns="0" formatRows="0" insertColumns="0" insertRows="0" insertHyperlinks="0" deleteColumns="0" deleteRows="0"/>
  <mergeCells count="1">
    <mergeCell ref="B1:M1"/>
  </mergeCells>
  <conditionalFormatting sqref="M496:M500">
    <cfRule type="containsText" dxfId="273" priority="322" operator="containsText" text="??">
      <formula>NOT(ISERROR(SEARCH("??",M496)))</formula>
    </cfRule>
    <cfRule type="containsText" dxfId="272" priority="323" operator="containsText" text="V">
      <formula>NOT(ISERROR(SEARCH("V",M496)))</formula>
    </cfRule>
    <cfRule type="containsText" dxfId="271" priority="324" operator="containsText" text="X">
      <formula>NOT(ISERROR(SEARCH("X",M496)))</formula>
    </cfRule>
  </conditionalFormatting>
  <conditionalFormatting sqref="M38 M212:M216 M598:M618">
    <cfRule type="containsText" dxfId="270" priority="319" operator="containsText" text="??">
      <formula>NOT(ISERROR(SEARCH("??",M38)))</formula>
    </cfRule>
    <cfRule type="containsText" dxfId="269" priority="320" operator="containsText" text="V">
      <formula>NOT(ISERROR(SEARCH("V",M38)))</formula>
    </cfRule>
    <cfRule type="containsText" dxfId="268" priority="321" operator="containsText" text="X">
      <formula>NOT(ISERROR(SEARCH("X",M38)))</formula>
    </cfRule>
  </conditionalFormatting>
  <conditionalFormatting sqref="M493">
    <cfRule type="containsText" dxfId="267" priority="316" operator="containsText" text="??">
      <formula>NOT(ISERROR(SEARCH("??",M493)))</formula>
    </cfRule>
    <cfRule type="containsText" dxfId="266" priority="317" operator="containsText" text="V">
      <formula>NOT(ISERROR(SEARCH("V",M493)))</formula>
    </cfRule>
    <cfRule type="containsText" dxfId="265" priority="318" operator="containsText" text="X">
      <formula>NOT(ISERROR(SEARCH("X",M493)))</formula>
    </cfRule>
  </conditionalFormatting>
  <conditionalFormatting sqref="M525">
    <cfRule type="containsText" dxfId="264" priority="313" operator="containsText" text="??">
      <formula>NOT(ISERROR(SEARCH("??",M525)))</formula>
    </cfRule>
    <cfRule type="containsText" dxfId="263" priority="314" operator="containsText" text="V">
      <formula>NOT(ISERROR(SEARCH("V",M525)))</formula>
    </cfRule>
    <cfRule type="containsText" dxfId="262" priority="315" operator="containsText" text="X">
      <formula>NOT(ISERROR(SEARCH("X",M525)))</formula>
    </cfRule>
  </conditionalFormatting>
  <conditionalFormatting sqref="M143">
    <cfRule type="containsText" dxfId="261" priority="310" operator="containsText" text="??">
      <formula>NOT(ISERROR(SEARCH("??",M143)))</formula>
    </cfRule>
    <cfRule type="containsText" dxfId="260" priority="311" operator="containsText" text="V">
      <formula>NOT(ISERROR(SEARCH("V",M143)))</formula>
    </cfRule>
    <cfRule type="containsText" dxfId="259" priority="312" operator="containsText" text="X">
      <formula>NOT(ISERROR(SEARCH("X",M143)))</formula>
    </cfRule>
  </conditionalFormatting>
  <conditionalFormatting sqref="M165:M176">
    <cfRule type="containsText" dxfId="258" priority="304" operator="containsText" text="??">
      <formula>NOT(ISERROR(SEARCH("??",M165)))</formula>
    </cfRule>
    <cfRule type="containsText" dxfId="257" priority="305" operator="containsText" text="V">
      <formula>NOT(ISERROR(SEARCH("V",M165)))</formula>
    </cfRule>
    <cfRule type="containsText" dxfId="256" priority="306" operator="containsText" text="X">
      <formula>NOT(ISERROR(SEARCH("X",M165)))</formula>
    </cfRule>
  </conditionalFormatting>
  <conditionalFormatting sqref="M144:M151">
    <cfRule type="containsText" dxfId="255" priority="292" operator="containsText" text="??">
      <formula>NOT(ISERROR(SEARCH("??",M144)))</formula>
    </cfRule>
    <cfRule type="containsText" dxfId="254" priority="293" operator="containsText" text="V">
      <formula>NOT(ISERROR(SEARCH("V",M144)))</formula>
    </cfRule>
    <cfRule type="containsText" dxfId="253" priority="294" operator="containsText" text="X">
      <formula>NOT(ISERROR(SEARCH("X",M144)))</formula>
    </cfRule>
  </conditionalFormatting>
  <conditionalFormatting sqref="M164">
    <cfRule type="cellIs" dxfId="252" priority="215" operator="equal">
      <formula>"N/A"</formula>
    </cfRule>
    <cfRule type="containsText" dxfId="251" priority="280" operator="containsText" text="??">
      <formula>NOT(ISERROR(SEARCH("??",M164)))</formula>
    </cfRule>
    <cfRule type="containsText" dxfId="250" priority="281" operator="containsText" text="V">
      <formula>NOT(ISERROR(SEARCH("V",M164)))</formula>
    </cfRule>
    <cfRule type="containsText" dxfId="249" priority="282" operator="containsText" text="X">
      <formula>NOT(ISERROR(SEARCH("X",M164)))</formula>
    </cfRule>
  </conditionalFormatting>
  <conditionalFormatting sqref="M132">
    <cfRule type="containsText" dxfId="248" priority="277" operator="containsText" text="??">
      <formula>NOT(ISERROR(SEARCH("??",M132)))</formula>
    </cfRule>
    <cfRule type="containsText" dxfId="247" priority="278" operator="containsText" text="V">
      <formula>NOT(ISERROR(SEARCH("V",M132)))</formula>
    </cfRule>
    <cfRule type="containsText" dxfId="246" priority="279" operator="containsText" text="X">
      <formula>NOT(ISERROR(SEARCH("X",M132)))</formula>
    </cfRule>
  </conditionalFormatting>
  <conditionalFormatting sqref="M597">
    <cfRule type="containsText" dxfId="245" priority="274" operator="containsText" text="??">
      <formula>NOT(ISERROR(SEARCH("??",M597)))</formula>
    </cfRule>
    <cfRule type="containsText" dxfId="244" priority="275" operator="containsText" text="V">
      <formula>NOT(ISERROR(SEARCH("V",M597)))</formula>
    </cfRule>
    <cfRule type="containsText" dxfId="243" priority="276" operator="containsText" text="X">
      <formula>NOT(ISERROR(SEARCH("X",M597)))</formula>
    </cfRule>
  </conditionalFormatting>
  <conditionalFormatting sqref="M466:M469">
    <cfRule type="containsText" dxfId="242" priority="250" operator="containsText" text="N/A">
      <formula>NOT(ISERROR(SEARCH("N/A",M466)))</formula>
    </cfRule>
    <cfRule type="containsText" dxfId="241" priority="251" operator="containsText" text="??">
      <formula>NOT(ISERROR(SEARCH("??",M466)))</formula>
    </cfRule>
    <cfRule type="containsText" dxfId="240" priority="252" operator="containsText" text="V">
      <formula>NOT(ISERROR(SEARCH("V",M466)))</formula>
    </cfRule>
    <cfRule type="containsText" dxfId="239" priority="253" operator="containsText" text="X">
      <formula>NOT(ISERROR(SEARCH("X",M466)))</formula>
    </cfRule>
  </conditionalFormatting>
  <conditionalFormatting sqref="M261">
    <cfRule type="containsText" dxfId="238" priority="262" operator="containsText" text="N/A">
      <formula>NOT(ISERROR(SEARCH("N/A",M261)))</formula>
    </cfRule>
    <cfRule type="containsText" dxfId="237" priority="263" operator="containsText" text="??">
      <formula>NOT(ISERROR(SEARCH("??",M261)))</formula>
    </cfRule>
    <cfRule type="containsText" dxfId="236" priority="264" operator="containsText" text="V">
      <formula>NOT(ISERROR(SEARCH("V",M261)))</formula>
    </cfRule>
    <cfRule type="containsText" dxfId="235" priority="265" operator="containsText" text="X">
      <formula>NOT(ISERROR(SEARCH("X",M261)))</formula>
    </cfRule>
  </conditionalFormatting>
  <conditionalFormatting sqref="M310:M316">
    <cfRule type="containsText" dxfId="234" priority="258" operator="containsText" text="N/A">
      <formula>NOT(ISERROR(SEARCH("N/A",M310)))</formula>
    </cfRule>
    <cfRule type="containsText" dxfId="233" priority="259" operator="containsText" text="??">
      <formula>NOT(ISERROR(SEARCH("??",M310)))</formula>
    </cfRule>
    <cfRule type="containsText" dxfId="232" priority="260" operator="containsText" text="V">
      <formula>NOT(ISERROR(SEARCH("V",M310)))</formula>
    </cfRule>
    <cfRule type="containsText" dxfId="231" priority="261" operator="containsText" text="X">
      <formula>NOT(ISERROR(SEARCH("X",M310)))</formula>
    </cfRule>
  </conditionalFormatting>
  <conditionalFormatting sqref="M630:M633">
    <cfRule type="containsText" dxfId="230" priority="254" operator="containsText" text="N/A">
      <formula>NOT(ISERROR(SEARCH("N/A",M630)))</formula>
    </cfRule>
    <cfRule type="containsText" dxfId="229" priority="255" operator="containsText" text="??">
      <formula>NOT(ISERROR(SEARCH("??",M630)))</formula>
    </cfRule>
    <cfRule type="containsText" dxfId="228" priority="256" operator="containsText" text="V">
      <formula>NOT(ISERROR(SEARCH("V",M630)))</formula>
    </cfRule>
    <cfRule type="containsText" dxfId="227" priority="257" operator="containsText" text="X">
      <formula>NOT(ISERROR(SEARCH("X",M630)))</formula>
    </cfRule>
  </conditionalFormatting>
  <conditionalFormatting sqref="M204:M210">
    <cfRule type="containsText" dxfId="226" priority="232" operator="containsText" text="??">
      <formula>NOT(ISERROR(SEARCH("??",M204)))</formula>
    </cfRule>
    <cfRule type="containsText" dxfId="225" priority="233" operator="containsText" text="V">
      <formula>NOT(ISERROR(SEARCH("V",M204)))</formula>
    </cfRule>
    <cfRule type="containsText" dxfId="224" priority="234" operator="containsText" text="X">
      <formula>NOT(ISERROR(SEARCH("X",M204)))</formula>
    </cfRule>
  </conditionalFormatting>
  <conditionalFormatting sqref="M204:M210">
    <cfRule type="containsText" dxfId="223" priority="231" operator="containsText" text="N/A">
      <formula>NOT(ISERROR(SEARCH("N/A",M204)))</formula>
    </cfRule>
    <cfRule type="containsText" dxfId="222" priority="235" operator="containsText" text="??">
      <formula>NOT(ISERROR(SEARCH("??",M204)))</formula>
    </cfRule>
    <cfRule type="containsText" dxfId="221" priority="236" operator="containsText" text="V">
      <formula>NOT(ISERROR(SEARCH("V",M204)))</formula>
    </cfRule>
    <cfRule type="containsText" dxfId="220" priority="237" operator="containsText" text="X">
      <formula>NOT(ISERROR(SEARCH("X",M204)))</formula>
    </cfRule>
  </conditionalFormatting>
  <conditionalFormatting sqref="M57">
    <cfRule type="cellIs" dxfId="219" priority="124" operator="equal">
      <formula>"X"</formula>
    </cfRule>
    <cfRule type="cellIs" dxfId="218" priority="126" operator="equal">
      <formula>"N/A"</formula>
    </cfRule>
    <cfRule type="cellIs" dxfId="217" priority="127" operator="equal">
      <formula>"??"</formula>
    </cfRule>
    <cfRule type="cellIs" dxfId="216" priority="128" operator="equal">
      <formula>"V"</formula>
    </cfRule>
    <cfRule type="cellIs" dxfId="215" priority="228" operator="equal">
      <formula>" "</formula>
    </cfRule>
  </conditionalFormatting>
  <conditionalFormatting sqref="M65">
    <cfRule type="cellIs" dxfId="214" priority="227" operator="equal">
      <formula>" "</formula>
    </cfRule>
  </conditionalFormatting>
  <conditionalFormatting sqref="M76">
    <cfRule type="cellIs" dxfId="213" priority="226" operator="equal">
      <formula>" "</formula>
    </cfRule>
  </conditionalFormatting>
  <conditionalFormatting sqref="M531 M545">
    <cfRule type="cellIs" dxfId="212" priority="225" operator="equal">
      <formula>" "</formula>
    </cfRule>
  </conditionalFormatting>
  <conditionalFormatting sqref="M152">
    <cfRule type="cellIs" dxfId="211" priority="216" operator="equal">
      <formula>"N/A"</formula>
    </cfRule>
    <cfRule type="cellIs" dxfId="210" priority="221" operator="equal">
      <formula>"N/A"</formula>
    </cfRule>
  </conditionalFormatting>
  <conditionalFormatting sqref="M152">
    <cfRule type="containsText" dxfId="209" priority="218" operator="containsText" text="??">
      <formula>NOT(ISERROR(SEARCH("??",M152)))</formula>
    </cfRule>
    <cfRule type="containsText" dxfId="208" priority="219" operator="containsText" text="V">
      <formula>NOT(ISERROR(SEARCH("V",M152)))</formula>
    </cfRule>
    <cfRule type="containsText" dxfId="207" priority="220" operator="containsText" text="X">
      <formula>NOT(ISERROR(SEARCH("X",M152)))</formula>
    </cfRule>
  </conditionalFormatting>
  <conditionalFormatting sqref="M144">
    <cfRule type="cellIs" dxfId="206" priority="217" operator="equal">
      <formula>"N/A"</formula>
    </cfRule>
  </conditionalFormatting>
  <conditionalFormatting sqref="M85">
    <cfRule type="cellIs" dxfId="205" priority="210" operator="equal">
      <formula>"??"</formula>
    </cfRule>
    <cfRule type="cellIs" dxfId="204" priority="211" operator="equal">
      <formula>" "</formula>
    </cfRule>
    <cfRule type="cellIs" dxfId="203" priority="212" operator="equal">
      <formula>"N/A"</formula>
    </cfRule>
    <cfRule type="cellIs" dxfId="202" priority="213" operator="equal">
      <formula>"V"</formula>
    </cfRule>
    <cfRule type="cellIs" dxfId="201" priority="214" operator="equal">
      <formula>"X"</formula>
    </cfRule>
  </conditionalFormatting>
  <conditionalFormatting sqref="M96">
    <cfRule type="cellIs" dxfId="200" priority="205" operator="equal">
      <formula>"??"</formula>
    </cfRule>
    <cfRule type="cellIs" dxfId="199" priority="206" operator="equal">
      <formula>" "</formula>
    </cfRule>
    <cfRule type="cellIs" dxfId="198" priority="207" operator="equal">
      <formula>"N/A"</formula>
    </cfRule>
    <cfRule type="cellIs" dxfId="197" priority="208" operator="equal">
      <formula>"V"</formula>
    </cfRule>
    <cfRule type="cellIs" dxfId="196" priority="209" operator="equal">
      <formula>"X"</formula>
    </cfRule>
  </conditionalFormatting>
  <conditionalFormatting sqref="M523">
    <cfRule type="cellIs" dxfId="195" priority="200" operator="equal">
      <formula>"??"</formula>
    </cfRule>
    <cfRule type="cellIs" dxfId="194" priority="201" operator="equal">
      <formula>"N/A"</formula>
    </cfRule>
    <cfRule type="cellIs" dxfId="193" priority="202" operator="equal">
      <formula>"V"</formula>
    </cfRule>
    <cfRule type="cellIs" dxfId="192" priority="203" operator="equal">
      <formula>"X"</formula>
    </cfRule>
    <cfRule type="cellIs" dxfId="191" priority="204" operator="equal">
      <formula>" "</formula>
    </cfRule>
  </conditionalFormatting>
  <conditionalFormatting sqref="M609">
    <cfRule type="cellIs" dxfId="190" priority="199" operator="equal">
      <formula>"N/A"</formula>
    </cfRule>
  </conditionalFormatting>
  <conditionalFormatting sqref="M619">
    <cfRule type="cellIs" dxfId="189" priority="195" operator="equal">
      <formula>"N/A"</formula>
    </cfRule>
  </conditionalFormatting>
  <conditionalFormatting sqref="M619">
    <cfRule type="containsText" dxfId="188" priority="196" operator="containsText" text="??">
      <formula>NOT(ISERROR(SEARCH("??",M619)))</formula>
    </cfRule>
    <cfRule type="containsText" dxfId="187" priority="197" operator="containsText" text="V">
      <formula>NOT(ISERROR(SEARCH("V",M619)))</formula>
    </cfRule>
    <cfRule type="containsText" dxfId="186" priority="198" operator="containsText" text="X">
      <formula>NOT(ISERROR(SEARCH("X",M619)))</formula>
    </cfRule>
  </conditionalFormatting>
  <conditionalFormatting sqref="M629">
    <cfRule type="cellIs" dxfId="185" priority="191" operator="equal">
      <formula>"N/A"</formula>
    </cfRule>
  </conditionalFormatting>
  <conditionalFormatting sqref="M629">
    <cfRule type="containsText" dxfId="184" priority="192" operator="containsText" text="??">
      <formula>NOT(ISERROR(SEARCH("??",M629)))</formula>
    </cfRule>
    <cfRule type="containsText" dxfId="183" priority="193" operator="containsText" text="V">
      <formula>NOT(ISERROR(SEARCH("V",M629)))</formula>
    </cfRule>
    <cfRule type="containsText" dxfId="182" priority="194" operator="containsText" text="X">
      <formula>NOT(ISERROR(SEARCH("X",M629)))</formula>
    </cfRule>
  </conditionalFormatting>
  <conditionalFormatting sqref="M587">
    <cfRule type="containsText" dxfId="181" priority="182" operator="containsText" text="??">
      <formula>NOT(ISERROR(SEARCH("??",M587)))</formula>
    </cfRule>
    <cfRule type="containsText" dxfId="180" priority="183" operator="containsText" text="V">
      <formula>NOT(ISERROR(SEARCH("V",M587)))</formula>
    </cfRule>
    <cfRule type="containsText" dxfId="179" priority="184" operator="containsText" text="X">
      <formula>NOT(ISERROR(SEARCH("X",M587)))</formula>
    </cfRule>
  </conditionalFormatting>
  <conditionalFormatting sqref="M571">
    <cfRule type="containsText" dxfId="178" priority="188" operator="containsText" text="??">
      <formula>NOT(ISERROR(SEARCH("??",M571)))</formula>
    </cfRule>
    <cfRule type="containsText" dxfId="177" priority="189" operator="containsText" text="V">
      <formula>NOT(ISERROR(SEARCH("V",M571)))</formula>
    </cfRule>
    <cfRule type="containsText" dxfId="176" priority="190" operator="containsText" text="X">
      <formula>NOT(ISERROR(SEARCH("X",M571)))</formula>
    </cfRule>
  </conditionalFormatting>
  <conditionalFormatting sqref="M579">
    <cfRule type="containsText" dxfId="175" priority="185" operator="containsText" text="??">
      <formula>NOT(ISERROR(SEARCH("??",M579)))</formula>
    </cfRule>
    <cfRule type="containsText" dxfId="174" priority="186" operator="containsText" text="V">
      <formula>NOT(ISERROR(SEARCH("V",M579)))</formula>
    </cfRule>
    <cfRule type="containsText" dxfId="173" priority="187" operator="containsText" text="X">
      <formula>NOT(ISERROR(SEARCH("X",M579)))</formula>
    </cfRule>
  </conditionalFormatting>
  <conditionalFormatting sqref="M587">
    <cfRule type="containsText" dxfId="172" priority="179" operator="containsText" text="??">
      <formula>NOT(ISERROR(SEARCH("??",M587)))</formula>
    </cfRule>
    <cfRule type="containsText" dxfId="171" priority="180" operator="containsText" text="V">
      <formula>NOT(ISERROR(SEARCH("V",M587)))</formula>
    </cfRule>
    <cfRule type="containsText" dxfId="170" priority="181" operator="containsText" text="X">
      <formula>NOT(ISERROR(SEARCH("X",M587)))</formula>
    </cfRule>
  </conditionalFormatting>
  <conditionalFormatting sqref="M253">
    <cfRule type="cellIs" dxfId="169" priority="163" operator="equal">
      <formula>"N/A"</formula>
    </cfRule>
  </conditionalFormatting>
  <conditionalFormatting sqref="M220">
    <cfRule type="cellIs" dxfId="168" priority="175" operator="equal">
      <formula>"N/A"</formula>
    </cfRule>
  </conditionalFormatting>
  <conditionalFormatting sqref="M220">
    <cfRule type="containsText" dxfId="167" priority="176" operator="containsText" text="??">
      <formula>NOT(ISERROR(SEARCH("??",M220)))</formula>
    </cfRule>
    <cfRule type="containsText" dxfId="166" priority="177" operator="containsText" text="V">
      <formula>NOT(ISERROR(SEARCH("V",M220)))</formula>
    </cfRule>
    <cfRule type="containsText" dxfId="165" priority="178" operator="containsText" text="X">
      <formula>NOT(ISERROR(SEARCH("X",M220)))</formula>
    </cfRule>
  </conditionalFormatting>
  <conditionalFormatting sqref="M231">
    <cfRule type="cellIs" dxfId="164" priority="171" operator="equal">
      <formula>"N/A"</formula>
    </cfRule>
  </conditionalFormatting>
  <conditionalFormatting sqref="M231">
    <cfRule type="containsText" dxfId="163" priority="172" operator="containsText" text="??">
      <formula>NOT(ISERROR(SEARCH("??",M231)))</formula>
    </cfRule>
    <cfRule type="containsText" dxfId="162" priority="173" operator="containsText" text="V">
      <formula>NOT(ISERROR(SEARCH("V",M231)))</formula>
    </cfRule>
    <cfRule type="containsText" dxfId="161" priority="174" operator="containsText" text="X">
      <formula>NOT(ISERROR(SEARCH("X",M231)))</formula>
    </cfRule>
  </conditionalFormatting>
  <conditionalFormatting sqref="M244">
    <cfRule type="cellIs" dxfId="160" priority="167" operator="equal">
      <formula>"N/A"</formula>
    </cfRule>
  </conditionalFormatting>
  <conditionalFormatting sqref="M244">
    <cfRule type="containsText" dxfId="159" priority="168" operator="containsText" text="??">
      <formula>NOT(ISERROR(SEARCH("??",M244)))</formula>
    </cfRule>
    <cfRule type="containsText" dxfId="158" priority="169" operator="containsText" text="V">
      <formula>NOT(ISERROR(SEARCH("V",M244)))</formula>
    </cfRule>
    <cfRule type="containsText" dxfId="157" priority="170" operator="containsText" text="X">
      <formula>NOT(ISERROR(SEARCH("X",M244)))</formula>
    </cfRule>
  </conditionalFormatting>
  <conditionalFormatting sqref="M253">
    <cfRule type="containsText" dxfId="156" priority="164" operator="containsText" text="??">
      <formula>NOT(ISERROR(SEARCH("??",M253)))</formula>
    </cfRule>
    <cfRule type="containsText" dxfId="155" priority="165" operator="containsText" text="V">
      <formula>NOT(ISERROR(SEARCH("V",M253)))</formula>
    </cfRule>
    <cfRule type="containsText" dxfId="154" priority="166" operator="containsText" text="X">
      <formula>NOT(ISERROR(SEARCH("X",M253)))</formula>
    </cfRule>
  </conditionalFormatting>
  <conditionalFormatting sqref="M491">
    <cfRule type="cellIs" dxfId="153" priority="153" operator="equal">
      <formula>"N/A"</formula>
    </cfRule>
    <cfRule type="containsText" dxfId="152" priority="160" operator="containsText" text="??">
      <formula>NOT(ISERROR(SEARCH("??",M491)))</formula>
    </cfRule>
    <cfRule type="containsText" dxfId="151" priority="161" operator="containsText" text="V">
      <formula>NOT(ISERROR(SEARCH("V",M491)))</formula>
    </cfRule>
    <cfRule type="containsText" dxfId="150" priority="162" operator="containsText" text="X">
      <formula>NOT(ISERROR(SEARCH("X",M491)))</formula>
    </cfRule>
  </conditionalFormatting>
  <conditionalFormatting sqref="M480">
    <cfRule type="containsText" dxfId="149" priority="154" operator="containsText" text="??">
      <formula>NOT(ISERROR(SEARCH("??",M480)))</formula>
    </cfRule>
    <cfRule type="containsText" dxfId="148" priority="155" operator="containsText" text="V">
      <formula>NOT(ISERROR(SEARCH("V",M480)))</formula>
    </cfRule>
    <cfRule type="containsText" dxfId="147" priority="156" operator="containsText" text="X">
      <formula>NOT(ISERROR(SEARCH("X",M480)))</formula>
    </cfRule>
    <cfRule type="cellIs" dxfId="146" priority="1" operator="equal">
      <formula>"N/A"</formula>
    </cfRule>
  </conditionalFormatting>
  <conditionalFormatting sqref="M502">
    <cfRule type="cellIs" dxfId="145" priority="149" operator="equal">
      <formula>"N/A"</formula>
    </cfRule>
    <cfRule type="containsText" dxfId="144" priority="150" operator="containsText" text="??">
      <formula>NOT(ISERROR(SEARCH("??",M502)))</formula>
    </cfRule>
    <cfRule type="containsText" dxfId="143" priority="151" operator="containsText" text="V">
      <formula>NOT(ISERROR(SEARCH("V",M502)))</formula>
    </cfRule>
    <cfRule type="containsText" dxfId="142" priority="152" operator="containsText" text="X">
      <formula>NOT(ISERROR(SEARCH("X",M502)))</formula>
    </cfRule>
  </conditionalFormatting>
  <conditionalFormatting sqref="M47">
    <cfRule type="cellIs" dxfId="141" priority="145" operator="equal">
      <formula>"N/A"</formula>
    </cfRule>
    <cfRule type="containsText" dxfId="140" priority="146" operator="containsText" text="??">
      <formula>NOT(ISERROR(SEARCH("??",M47)))</formula>
    </cfRule>
    <cfRule type="containsText" dxfId="139" priority="147" operator="containsText" text="V">
      <formula>NOT(ISERROR(SEARCH("V",M47)))</formula>
    </cfRule>
    <cfRule type="containsText" dxfId="138" priority="148" operator="containsText" text="X">
      <formula>NOT(ISERROR(SEARCH("X",M47)))</formula>
    </cfRule>
  </conditionalFormatting>
  <conditionalFormatting sqref="M36">
    <cfRule type="cellIs" dxfId="137" priority="141" operator="equal">
      <formula>"N/A"</formula>
    </cfRule>
    <cfRule type="containsText" dxfId="136" priority="142" operator="containsText" text="??">
      <formula>NOT(ISERROR(SEARCH("??",M36)))</formula>
    </cfRule>
    <cfRule type="containsText" dxfId="135" priority="143" operator="containsText" text="V">
      <formula>NOT(ISERROR(SEARCH("V",M36)))</formula>
    </cfRule>
    <cfRule type="containsText" dxfId="134" priority="144" operator="containsText" text="X">
      <formula>NOT(ISERROR(SEARCH("X",M36)))</formula>
    </cfRule>
  </conditionalFormatting>
  <conditionalFormatting sqref="M25">
    <cfRule type="cellIs" dxfId="133" priority="137" operator="equal">
      <formula>"N/A"</formula>
    </cfRule>
    <cfRule type="containsText" dxfId="132" priority="138" operator="containsText" text="??">
      <formula>NOT(ISERROR(SEARCH("??",M25)))</formula>
    </cfRule>
    <cfRule type="containsText" dxfId="131" priority="139" operator="containsText" text="V">
      <formula>NOT(ISERROR(SEARCH("V",M25)))</formula>
    </cfRule>
    <cfRule type="containsText" dxfId="130" priority="140" operator="containsText" text="X">
      <formula>NOT(ISERROR(SEARCH("X",M25)))</formula>
    </cfRule>
  </conditionalFormatting>
  <conditionalFormatting sqref="M15">
    <cfRule type="cellIs" dxfId="129" priority="133" operator="equal">
      <formula>"N/A"</formula>
    </cfRule>
    <cfRule type="containsText" dxfId="128" priority="134" operator="containsText" text="??">
      <formula>NOT(ISERROR(SEARCH("??",M15)))</formula>
    </cfRule>
    <cfRule type="containsText" dxfId="127" priority="135" operator="containsText" text="V">
      <formula>NOT(ISERROR(SEARCH("V",M15)))</formula>
    </cfRule>
    <cfRule type="containsText" dxfId="126" priority="136" operator="containsText" text="X">
      <formula>NOT(ISERROR(SEARCH("X",M15)))</formula>
    </cfRule>
  </conditionalFormatting>
  <conditionalFormatting sqref="M7">
    <cfRule type="cellIs" dxfId="125" priority="129" operator="equal">
      <formula>"N/A"</formula>
    </cfRule>
    <cfRule type="containsText" dxfId="124" priority="130" operator="containsText" text="??">
      <formula>NOT(ISERROR(SEARCH("??",M7)))</formula>
    </cfRule>
    <cfRule type="containsText" dxfId="123" priority="131" operator="containsText" text="V">
      <formula>NOT(ISERROR(SEARCH("V",M7)))</formula>
    </cfRule>
    <cfRule type="containsText" dxfId="122" priority="132" operator="containsText" text="X">
      <formula>NOT(ISERROR(SEARCH("X",M7)))</formula>
    </cfRule>
  </conditionalFormatting>
  <conditionalFormatting sqref="M65">
    <cfRule type="cellIs" dxfId="121" priority="119" operator="equal">
      <formula>"X"</formula>
    </cfRule>
    <cfRule type="cellIs" dxfId="120" priority="120" operator="equal">
      <formula>"N/A"</formula>
    </cfRule>
    <cfRule type="cellIs" dxfId="119" priority="121" operator="equal">
      <formula>"??"</formula>
    </cfRule>
    <cfRule type="cellIs" dxfId="118" priority="122" operator="equal">
      <formula>"V"</formula>
    </cfRule>
    <cfRule type="cellIs" dxfId="117" priority="123" operator="equal">
      <formula>" "</formula>
    </cfRule>
  </conditionalFormatting>
  <conditionalFormatting sqref="M76">
    <cfRule type="cellIs" dxfId="116" priority="118" operator="equal">
      <formula>" "</formula>
    </cfRule>
  </conditionalFormatting>
  <conditionalFormatting sqref="M76">
    <cfRule type="cellIs" dxfId="115" priority="113" operator="equal">
      <formula>"X"</formula>
    </cfRule>
    <cfRule type="cellIs" dxfId="114" priority="114" operator="equal">
      <formula>"N/A"</formula>
    </cfRule>
    <cfRule type="cellIs" dxfId="113" priority="115" operator="equal">
      <formula>"??"</formula>
    </cfRule>
    <cfRule type="cellIs" dxfId="112" priority="116" operator="equal">
      <formula>"V"</formula>
    </cfRule>
    <cfRule type="cellIs" dxfId="111" priority="117" operator="equal">
      <formula>" "</formula>
    </cfRule>
  </conditionalFormatting>
  <conditionalFormatting sqref="M203">
    <cfRule type="cellIs" dxfId="110" priority="85" operator="equal">
      <formula>"N/A"</formula>
    </cfRule>
    <cfRule type="containsText" dxfId="109" priority="86" operator="containsText" text="??">
      <formula>NOT(ISERROR(SEARCH("??",M203)))</formula>
    </cfRule>
    <cfRule type="containsText" dxfId="108" priority="87" operator="containsText" text="V">
      <formula>NOT(ISERROR(SEARCH("V",M203)))</formula>
    </cfRule>
    <cfRule type="containsText" dxfId="107" priority="88" operator="containsText" text="X">
      <formula>NOT(ISERROR(SEARCH("X",M203)))</formula>
    </cfRule>
  </conditionalFormatting>
  <conditionalFormatting sqref="M451">
    <cfRule type="cellIs" dxfId="106" priority="109" operator="equal">
      <formula>"N/A"</formula>
    </cfRule>
    <cfRule type="containsText" dxfId="105" priority="110" operator="containsText" text="??">
      <formula>NOT(ISERROR(SEARCH("??",M451)))</formula>
    </cfRule>
    <cfRule type="containsText" dxfId="104" priority="111" operator="containsText" text="V">
      <formula>NOT(ISERROR(SEARCH("V",M451)))</formula>
    </cfRule>
    <cfRule type="containsText" dxfId="103" priority="112" operator="containsText" text="X">
      <formula>NOT(ISERROR(SEARCH("X",M451)))</formula>
    </cfRule>
  </conditionalFormatting>
  <conditionalFormatting sqref="M465">
    <cfRule type="cellIs" dxfId="102" priority="105" operator="equal">
      <formula>"N/A"</formula>
    </cfRule>
    <cfRule type="containsText" dxfId="101" priority="106" operator="containsText" text="??">
      <formula>NOT(ISERROR(SEARCH("??",M465)))</formula>
    </cfRule>
    <cfRule type="containsText" dxfId="100" priority="107" operator="containsText" text="V">
      <formula>NOT(ISERROR(SEARCH("V",M465)))</formula>
    </cfRule>
    <cfRule type="containsText" dxfId="99" priority="108" operator="containsText" text="X">
      <formula>NOT(ISERROR(SEARCH("X",M465)))</formula>
    </cfRule>
  </conditionalFormatting>
  <conditionalFormatting sqref="M195">
    <cfRule type="cellIs" dxfId="98" priority="101" operator="equal">
      <formula>"N/A"</formula>
    </cfRule>
    <cfRule type="containsText" dxfId="97" priority="102" operator="containsText" text="??">
      <formula>NOT(ISERROR(SEARCH("??",M195)))</formula>
    </cfRule>
    <cfRule type="containsText" dxfId="96" priority="103" operator="containsText" text="V">
      <formula>NOT(ISERROR(SEARCH("V",M195)))</formula>
    </cfRule>
    <cfRule type="containsText" dxfId="95" priority="104" operator="containsText" text="X">
      <formula>NOT(ISERROR(SEARCH("X",M195)))</formula>
    </cfRule>
  </conditionalFormatting>
  <conditionalFormatting sqref="M187">
    <cfRule type="cellIs" dxfId="94" priority="97" operator="equal">
      <formula>"N/A"</formula>
    </cfRule>
    <cfRule type="containsText" dxfId="93" priority="98" operator="containsText" text="??">
      <formula>NOT(ISERROR(SEARCH("??",M187)))</formula>
    </cfRule>
    <cfRule type="containsText" dxfId="92" priority="99" operator="containsText" text="V">
      <formula>NOT(ISERROR(SEARCH("V",M187)))</formula>
    </cfRule>
    <cfRule type="containsText" dxfId="91" priority="100" operator="containsText" text="X">
      <formula>NOT(ISERROR(SEARCH("X",M187)))</formula>
    </cfRule>
  </conditionalFormatting>
  <conditionalFormatting sqref="M178">
    <cfRule type="cellIs" dxfId="90" priority="93" operator="equal">
      <formula>"N/A"</formula>
    </cfRule>
    <cfRule type="containsText" dxfId="89" priority="94" operator="containsText" text="??">
      <formula>NOT(ISERROR(SEARCH("??",M178)))</formula>
    </cfRule>
    <cfRule type="containsText" dxfId="88" priority="95" operator="containsText" text="V">
      <formula>NOT(ISERROR(SEARCH("V",M178)))</formula>
    </cfRule>
    <cfRule type="containsText" dxfId="87" priority="96" operator="containsText" text="X">
      <formula>NOT(ISERROR(SEARCH("X",M178)))</formula>
    </cfRule>
  </conditionalFormatting>
  <conditionalFormatting sqref="M211">
    <cfRule type="cellIs" dxfId="86" priority="89" operator="equal">
      <formula>"N/A"</formula>
    </cfRule>
    <cfRule type="containsText" dxfId="85" priority="90" operator="containsText" text="??">
      <formula>NOT(ISERROR(SEARCH("??",M211)))</formula>
    </cfRule>
    <cfRule type="containsText" dxfId="84" priority="91" operator="containsText" text="V">
      <formula>NOT(ISERROR(SEARCH("V",M211)))</formula>
    </cfRule>
    <cfRule type="containsText" dxfId="83" priority="92" operator="containsText" text="X">
      <formula>NOT(ISERROR(SEARCH("X",M211)))</formula>
    </cfRule>
  </conditionalFormatting>
  <conditionalFormatting sqref="M267">
    <cfRule type="cellIs" dxfId="82" priority="81" operator="equal">
      <formula>"N/A"</formula>
    </cfRule>
  </conditionalFormatting>
  <conditionalFormatting sqref="M267">
    <cfRule type="containsText" dxfId="81" priority="82" operator="containsText" text="??">
      <formula>NOT(ISERROR(SEARCH("??",M267)))</formula>
    </cfRule>
    <cfRule type="containsText" dxfId="80" priority="83" operator="containsText" text="V">
      <formula>NOT(ISERROR(SEARCH("V",M267)))</formula>
    </cfRule>
    <cfRule type="containsText" dxfId="79" priority="84" operator="containsText" text="X">
      <formula>NOT(ISERROR(SEARCH("X",M267)))</formula>
    </cfRule>
  </conditionalFormatting>
  <conditionalFormatting sqref="M277">
    <cfRule type="cellIs" dxfId="78" priority="77" operator="equal">
      <formula>"N/A"</formula>
    </cfRule>
  </conditionalFormatting>
  <conditionalFormatting sqref="M277">
    <cfRule type="containsText" dxfId="77" priority="78" operator="containsText" text="??">
      <formula>NOT(ISERROR(SEARCH("??",M277)))</formula>
    </cfRule>
    <cfRule type="containsText" dxfId="76" priority="79" operator="containsText" text="V">
      <formula>NOT(ISERROR(SEARCH("V",M277)))</formula>
    </cfRule>
    <cfRule type="containsText" dxfId="75" priority="80" operator="containsText" text="X">
      <formula>NOT(ISERROR(SEARCH("X",M277)))</formula>
    </cfRule>
  </conditionalFormatting>
  <conditionalFormatting sqref="M289">
    <cfRule type="cellIs" dxfId="74" priority="73" operator="equal">
      <formula>"N/A"</formula>
    </cfRule>
  </conditionalFormatting>
  <conditionalFormatting sqref="M289">
    <cfRule type="containsText" dxfId="73" priority="74" operator="containsText" text="??">
      <formula>NOT(ISERROR(SEARCH("??",M289)))</formula>
    </cfRule>
    <cfRule type="containsText" dxfId="72" priority="75" operator="containsText" text="V">
      <formula>NOT(ISERROR(SEARCH("V",M289)))</formula>
    </cfRule>
    <cfRule type="containsText" dxfId="71" priority="76" operator="containsText" text="X">
      <formula>NOT(ISERROR(SEARCH("X",M289)))</formula>
    </cfRule>
  </conditionalFormatting>
  <conditionalFormatting sqref="M299">
    <cfRule type="cellIs" dxfId="70" priority="69" operator="equal">
      <formula>"N/A"</formula>
    </cfRule>
  </conditionalFormatting>
  <conditionalFormatting sqref="M299">
    <cfRule type="containsText" dxfId="69" priority="70" operator="containsText" text="??">
      <formula>NOT(ISERROR(SEARCH("??",M299)))</formula>
    </cfRule>
    <cfRule type="containsText" dxfId="68" priority="71" operator="containsText" text="V">
      <formula>NOT(ISERROR(SEARCH("V",M299)))</formula>
    </cfRule>
    <cfRule type="containsText" dxfId="67" priority="72" operator="containsText" text="X">
      <formula>NOT(ISERROR(SEARCH("X",M299)))</formula>
    </cfRule>
  </conditionalFormatting>
  <conditionalFormatting sqref="M309">
    <cfRule type="cellIs" dxfId="66" priority="65" operator="equal">
      <formula>"N/A"</formula>
    </cfRule>
  </conditionalFormatting>
  <conditionalFormatting sqref="M309">
    <cfRule type="containsText" dxfId="65" priority="66" operator="containsText" text="??">
      <formula>NOT(ISERROR(SEARCH("??",M309)))</formula>
    </cfRule>
    <cfRule type="containsText" dxfId="64" priority="67" operator="containsText" text="V">
      <formula>NOT(ISERROR(SEARCH("V",M309)))</formula>
    </cfRule>
    <cfRule type="containsText" dxfId="63" priority="68" operator="containsText" text="X">
      <formula>NOT(ISERROR(SEARCH("X",M309)))</formula>
    </cfRule>
  </conditionalFormatting>
  <conditionalFormatting sqref="M373">
    <cfRule type="cellIs" dxfId="62" priority="49" operator="equal">
      <formula>"N/A"</formula>
    </cfRule>
    <cfRule type="containsText" dxfId="61" priority="62" operator="containsText" text="??">
      <formula>NOT(ISERROR(SEARCH("??",M373)))</formula>
    </cfRule>
    <cfRule type="containsText" dxfId="60" priority="63" operator="containsText" text="V">
      <formula>NOT(ISERROR(SEARCH("V",M373)))</formula>
    </cfRule>
    <cfRule type="containsText" dxfId="59" priority="64" operator="containsText" text="X">
      <formula>NOT(ISERROR(SEARCH("X",M373)))</formula>
    </cfRule>
  </conditionalFormatting>
  <conditionalFormatting sqref="M384">
    <cfRule type="cellIs" dxfId="58" priority="48" operator="equal">
      <formula>"N/A"</formula>
    </cfRule>
    <cfRule type="containsText" dxfId="57" priority="59" operator="containsText" text="??">
      <formula>NOT(ISERROR(SEARCH("??",M384)))</formula>
    </cfRule>
    <cfRule type="containsText" dxfId="56" priority="60" operator="containsText" text="V">
      <formula>NOT(ISERROR(SEARCH("V",M384)))</formula>
    </cfRule>
    <cfRule type="containsText" dxfId="55" priority="61" operator="containsText" text="X">
      <formula>NOT(ISERROR(SEARCH("X",M384)))</formula>
    </cfRule>
  </conditionalFormatting>
  <conditionalFormatting sqref="M397">
    <cfRule type="cellIs" dxfId="54" priority="47" operator="equal">
      <formula>"N/A"</formula>
    </cfRule>
    <cfRule type="containsText" dxfId="53" priority="56" operator="containsText" text="??">
      <formula>NOT(ISERROR(SEARCH("??",M397)))</formula>
    </cfRule>
    <cfRule type="containsText" dxfId="52" priority="57" operator="containsText" text="V">
      <formula>NOT(ISERROR(SEARCH("V",M397)))</formula>
    </cfRule>
    <cfRule type="containsText" dxfId="51" priority="58" operator="containsText" text="X">
      <formula>NOT(ISERROR(SEARCH("X",M397)))</formula>
    </cfRule>
  </conditionalFormatting>
  <conditionalFormatting sqref="M408">
    <cfRule type="cellIs" dxfId="50" priority="46" operator="equal">
      <formula>"N/A"</formula>
    </cfRule>
    <cfRule type="containsText" dxfId="49" priority="53" operator="containsText" text="??">
      <formula>NOT(ISERROR(SEARCH("??",M408)))</formula>
    </cfRule>
    <cfRule type="containsText" dxfId="48" priority="54" operator="containsText" text="V">
      <formula>NOT(ISERROR(SEARCH("V",M408)))</formula>
    </cfRule>
    <cfRule type="containsText" dxfId="47" priority="55" operator="containsText" text="X">
      <formula>NOT(ISERROR(SEARCH("X",M408)))</formula>
    </cfRule>
  </conditionalFormatting>
  <conditionalFormatting sqref="M420">
    <cfRule type="cellIs" dxfId="46" priority="45" operator="equal">
      <formula>"N/A"</formula>
    </cfRule>
    <cfRule type="containsText" dxfId="45" priority="50" operator="containsText" text="??">
      <formula>NOT(ISERROR(SEARCH("??",M420)))</formula>
    </cfRule>
    <cfRule type="containsText" dxfId="44" priority="51" operator="containsText" text="V">
      <formula>NOT(ISERROR(SEARCH("V",M420)))</formula>
    </cfRule>
    <cfRule type="containsText" dxfId="43" priority="52" operator="containsText" text="X">
      <formula>NOT(ISERROR(SEARCH("X",M420)))</formula>
    </cfRule>
  </conditionalFormatting>
  <conditionalFormatting sqref="M363">
    <cfRule type="cellIs" dxfId="42" priority="41" operator="equal">
      <formula>"N/A"</formula>
    </cfRule>
    <cfRule type="containsText" dxfId="41" priority="42" operator="containsText" text="??">
      <formula>NOT(ISERROR(SEARCH("??",M363)))</formula>
    </cfRule>
    <cfRule type="containsText" dxfId="40" priority="43" operator="containsText" text="V">
      <formula>NOT(ISERROR(SEARCH("V",M363)))</formula>
    </cfRule>
    <cfRule type="containsText" dxfId="39" priority="44" operator="containsText" text="X">
      <formula>NOT(ISERROR(SEARCH("X",M363)))</formula>
    </cfRule>
  </conditionalFormatting>
  <conditionalFormatting sqref="M515">
    <cfRule type="cellIs" dxfId="38" priority="36" operator="equal">
      <formula>"??"</formula>
    </cfRule>
    <cfRule type="cellIs" dxfId="37" priority="37" operator="equal">
      <formula>"N/A"</formula>
    </cfRule>
    <cfRule type="cellIs" dxfId="36" priority="38" operator="equal">
      <formula>"V"</formula>
    </cfRule>
    <cfRule type="cellIs" dxfId="35" priority="39" operator="equal">
      <formula>"X"</formula>
    </cfRule>
    <cfRule type="cellIs" dxfId="34" priority="40" operator="equal">
      <formula>" "</formula>
    </cfRule>
  </conditionalFormatting>
  <conditionalFormatting sqref="M560">
    <cfRule type="cellIs" dxfId="33" priority="31" operator="equal">
      <formula>"??"</formula>
    </cfRule>
    <cfRule type="cellIs" dxfId="32" priority="32" operator="equal">
      <formula>"N/A"</formula>
    </cfRule>
    <cfRule type="cellIs" dxfId="31" priority="33" operator="equal">
      <formula>"V"</formula>
    </cfRule>
    <cfRule type="cellIs" dxfId="30" priority="34" operator="equal">
      <formula>"X"</formula>
    </cfRule>
    <cfRule type="cellIs" dxfId="29" priority="35" operator="equal">
      <formula>" "</formula>
    </cfRule>
  </conditionalFormatting>
  <conditionalFormatting sqref="M342">
    <cfRule type="cellIs" dxfId="28" priority="23" operator="equal">
      <formula>"N/A"</formula>
    </cfRule>
  </conditionalFormatting>
  <conditionalFormatting sqref="M331">
    <cfRule type="cellIs" dxfId="27" priority="27" operator="equal">
      <formula>"N/A"</formula>
    </cfRule>
  </conditionalFormatting>
  <conditionalFormatting sqref="M331">
    <cfRule type="containsText" dxfId="26" priority="28" operator="containsText" text="??">
      <formula>NOT(ISERROR(SEARCH("??",M331)))</formula>
    </cfRule>
    <cfRule type="containsText" dxfId="25" priority="29" operator="containsText" text="V">
      <formula>NOT(ISERROR(SEARCH("V",M331)))</formula>
    </cfRule>
    <cfRule type="containsText" dxfId="24" priority="30" operator="containsText" text="X">
      <formula>NOT(ISERROR(SEARCH("X",M331)))</formula>
    </cfRule>
  </conditionalFormatting>
  <conditionalFormatting sqref="M342">
    <cfRule type="containsText" dxfId="23" priority="24" operator="containsText" text="??">
      <formula>NOT(ISERROR(SEARCH("??",M342)))</formula>
    </cfRule>
    <cfRule type="containsText" dxfId="22" priority="25" operator="containsText" text="V">
      <formula>NOT(ISERROR(SEARCH("V",M342)))</formula>
    </cfRule>
    <cfRule type="containsText" dxfId="21" priority="26" operator="containsText" text="X">
      <formula>NOT(ISERROR(SEARCH("X",M342)))</formula>
    </cfRule>
  </conditionalFormatting>
  <conditionalFormatting sqref="M108">
    <cfRule type="cellIs" dxfId="20" priority="18" operator="equal">
      <formula>"??"</formula>
    </cfRule>
    <cfRule type="cellIs" dxfId="19" priority="19" operator="equal">
      <formula>" "</formula>
    </cfRule>
    <cfRule type="cellIs" dxfId="18" priority="20" operator="equal">
      <formula>"N/A"</formula>
    </cfRule>
    <cfRule type="cellIs" dxfId="17" priority="21" operator="equal">
      <formula>"V"</formula>
    </cfRule>
    <cfRule type="cellIs" dxfId="16" priority="22" operator="equal">
      <formula>"X"</formula>
    </cfRule>
  </conditionalFormatting>
  <conditionalFormatting sqref="M119">
    <cfRule type="cellIs" dxfId="15" priority="13" operator="equal">
      <formula>"??"</formula>
    </cfRule>
    <cfRule type="cellIs" dxfId="14" priority="14" operator="equal">
      <formula>" "</formula>
    </cfRule>
    <cfRule type="cellIs" dxfId="13" priority="15" operator="equal">
      <formula>"N/A"</formula>
    </cfRule>
    <cfRule type="cellIs" dxfId="12" priority="16" operator="equal">
      <formula>"V"</formula>
    </cfRule>
    <cfRule type="cellIs" dxfId="11" priority="17" operator="equal">
      <formula>"X"</formula>
    </cfRule>
  </conditionalFormatting>
  <conditionalFormatting sqref="M130">
    <cfRule type="cellIs" dxfId="10" priority="8" operator="equal">
      <formula>"??"</formula>
    </cfRule>
    <cfRule type="cellIs" dxfId="9" priority="9" operator="equal">
      <formula>" "</formula>
    </cfRule>
    <cfRule type="cellIs" dxfId="8" priority="10" operator="equal">
      <formula>"N/A"</formula>
    </cfRule>
    <cfRule type="cellIs" dxfId="7" priority="11" operator="equal">
      <formula>"V"</formula>
    </cfRule>
    <cfRule type="cellIs" dxfId="6" priority="12" operator="equal">
      <formula>"X"</formula>
    </cfRule>
  </conditionalFormatting>
  <conditionalFormatting sqref="M531">
    <cfRule type="cellIs" dxfId="5" priority="7" operator="equal">
      <formula>"N/A"</formula>
    </cfRule>
    <cfRule type="cellIs" dxfId="4" priority="4" operator="equal">
      <formula>"V"</formula>
    </cfRule>
    <cfRule type="cellIs" dxfId="3" priority="3" operator="equal">
      <formula>"X"</formula>
    </cfRule>
    <cfRule type="cellIs" dxfId="2" priority="2" operator="equal">
      <formula>"??"</formula>
    </cfRule>
  </conditionalFormatting>
  <conditionalFormatting sqref="M545">
    <cfRule type="cellIs" dxfId="1" priority="5" operator="equal">
      <formula>"V"</formula>
    </cfRule>
    <cfRule type="cellIs" dxfId="0" priority="6" operator="equal">
      <formula>"N/A"</formula>
    </cfRule>
  </conditionalFormatting>
  <dataValidations xWindow="823" yWindow="895" count="59">
    <dataValidation showInputMessage="1" showErrorMessage="1" sqref="D8 D16"/>
    <dataValidation type="list" showInputMessage="1" showErrorMessage="1" sqref="D36">
      <formula1>$B$42:$B$45</formula1>
    </dataValidation>
    <dataValidation type="list" showInputMessage="1" showErrorMessage="1" sqref="D47">
      <formula1>$B$50:$B$53</formula1>
    </dataValidation>
    <dataValidation type="list" showInputMessage="1" showErrorMessage="1" prompt="Fill the cell anyway after having answered to question 1.2.1." sqref="D57">
      <formula1>$B$60:$B$63</formula1>
    </dataValidation>
    <dataValidation type="list" showInputMessage="1" showErrorMessage="1" sqref="D85">
      <formula1>$B$88:$B$94</formula1>
    </dataValidation>
    <dataValidation type="list" showInputMessage="1" showErrorMessage="1" prompt="Fill the cell anyway after having answered to question 1.3.1." sqref="D96">
      <formula1>$B$102:$B$106</formula1>
    </dataValidation>
    <dataValidation type="list" showInputMessage="1" showErrorMessage="1" sqref="D108">
      <formula1>$B$111:$B$117</formula1>
    </dataValidation>
    <dataValidation type="list" showInputMessage="1" showErrorMessage="1" sqref="D119">
      <formula1>$B$125:$B$128</formula1>
    </dataValidation>
    <dataValidation type="list" showInputMessage="1" showErrorMessage="1" sqref="D144">
      <formula1>$B$147:$B$150</formula1>
    </dataValidation>
    <dataValidation type="list" showInputMessage="1" showErrorMessage="1" sqref="D267">
      <formula1>$B$270:$B$275</formula1>
    </dataValidation>
    <dataValidation type="list" showInputMessage="1" showErrorMessage="1" sqref="D277">
      <formula1>$B$283:$B$287</formula1>
    </dataValidation>
    <dataValidation type="list" showInputMessage="1" showErrorMessage="1" sqref="D289">
      <formula1>$B$292:$B$297</formula1>
    </dataValidation>
    <dataValidation type="list" showInputMessage="1" showErrorMessage="1" sqref="D299">
      <formula1>$B$302:$B$306</formula1>
    </dataValidation>
    <dataValidation type="list" showInputMessage="1" showErrorMessage="1" sqref="D321">
      <formula1>$B$327:$B$329</formula1>
    </dataValidation>
    <dataValidation type="list" showInputMessage="1" showErrorMessage="1" sqref="D331">
      <formula1>$B$337:$B$340</formula1>
    </dataValidation>
    <dataValidation type="list" showInputMessage="1" showErrorMessage="1" sqref="D352">
      <formula1>$B$358:$B$361</formula1>
    </dataValidation>
    <dataValidation type="list" showInputMessage="1" showErrorMessage="1" sqref="D363">
      <formula1>$B$366:$B$370</formula1>
    </dataValidation>
    <dataValidation type="list" showInputMessage="1" showErrorMessage="1" sqref="D373">
      <formula1>$B$379:$B$382</formula1>
    </dataValidation>
    <dataValidation type="list" showInputMessage="1" showErrorMessage="1" sqref="D384">
      <formula1>$B$392:$B$395</formula1>
    </dataValidation>
    <dataValidation type="list" showInputMessage="1" showErrorMessage="1" sqref="D397">
      <formula1>$B$403:$B$406</formula1>
    </dataValidation>
    <dataValidation type="list" showInputMessage="1" showErrorMessage="1" sqref="D408">
      <formula1>$B$414:$B$418</formula1>
    </dataValidation>
    <dataValidation type="list" showInputMessage="1" showErrorMessage="1" sqref="D420">
      <formula1>$B$426:$B$429</formula1>
    </dataValidation>
    <dataValidation type="list" showInputMessage="1" showErrorMessage="1" sqref="D443">
      <formula1>$B$446:$B$449</formula1>
    </dataValidation>
    <dataValidation type="list" showInputMessage="1" showErrorMessage="1" sqref="D451">
      <formula1>$B$457:$B$463</formula1>
    </dataValidation>
    <dataValidation type="list" showInputMessage="1" showErrorMessage="1" sqref="D480">
      <formula1>$B$486:$B$489</formula1>
    </dataValidation>
    <dataValidation type="list" showInputMessage="1" showErrorMessage="1" sqref="D502">
      <formula1>$B$508:$B$511</formula1>
    </dataValidation>
    <dataValidation type="list" showInputMessage="1" showErrorMessage="1" sqref="D465">
      <formula1>$B$471:$B$478</formula1>
    </dataValidation>
    <dataValidation type="list" showInputMessage="1" showErrorMessage="1" sqref="D560">
      <formula1>$B$563:$B$568</formula1>
    </dataValidation>
    <dataValidation type="list" showInputMessage="1" showErrorMessage="1" sqref="D491">
      <formula1>$B$497:$B$500</formula1>
    </dataValidation>
    <dataValidation type="list" showInputMessage="1" showErrorMessage="1" sqref="D25">
      <formula1>$B$31:$B$34</formula1>
    </dataValidation>
    <dataValidation type="list" showInputMessage="1" showErrorMessage="1" sqref="D515">
      <formula1>$B$518:$B$521</formula1>
    </dataValidation>
    <dataValidation type="list" showInputMessage="1" showErrorMessage="1" sqref="D523">
      <formula1>$B$526:$B$529</formula1>
    </dataValidation>
    <dataValidation type="list" showInputMessage="1" showErrorMessage="1" sqref="D152">
      <formula1>$B$159:$B$162</formula1>
    </dataValidation>
    <dataValidation type="list" showInputMessage="1" showErrorMessage="1" sqref="D164">
      <formula1>$B$170:$B$175</formula1>
    </dataValidation>
    <dataValidation type="list" showInputMessage="1" showErrorMessage="1" sqref="D545">
      <formula1>$B$551:$B$558</formula1>
    </dataValidation>
    <dataValidation type="list" showInputMessage="1" showErrorMessage="1" sqref="D531">
      <formula1>$B$537:$B$543</formula1>
    </dataValidation>
    <dataValidation type="list" showInputMessage="1" showErrorMessage="1" sqref="D7">
      <formula1>$B$10:$B$13</formula1>
    </dataValidation>
    <dataValidation type="list" showInputMessage="1" showErrorMessage="1" sqref="D244">
      <formula1>$B$247:$B$251</formula1>
    </dataValidation>
    <dataValidation type="list" showInputMessage="1" showErrorMessage="1" sqref="D432">
      <formula1>$B$435:$B$441</formula1>
    </dataValidation>
    <dataValidation type="list" showInputMessage="1" showErrorMessage="1" sqref="D15">
      <formula1>$B$18:$B$23</formula1>
    </dataValidation>
    <dataValidation type="list" showInputMessage="1" showErrorMessage="1" sqref="D211">
      <formula1>$B$214:$B$216</formula1>
    </dataValidation>
    <dataValidation type="list" showInputMessage="1" showErrorMessage="1" prompt="Fill the cell anyway." sqref="D629">
      <formula1>$B$635:$B$640</formula1>
    </dataValidation>
    <dataValidation type="list" showInputMessage="1" showErrorMessage="1" prompt="Fill the cell anyway after having answered to question 1.2.1." sqref="D65">
      <formula1>$B$71:$B$74</formula1>
    </dataValidation>
    <dataValidation type="list" showInputMessage="1" showErrorMessage="1" prompt="Fill the cell anyway after having answered to question 1.2.1." sqref="D76">
      <formula1>$B$79:$B$82</formula1>
    </dataValidation>
    <dataValidation type="list" showInputMessage="1" showErrorMessage="1" prompt="Fill the cell anyway." sqref="D598">
      <formula1>$B$604:$B$607</formula1>
    </dataValidation>
    <dataValidation type="list" showInputMessage="1" showErrorMessage="1" prompt="Fill the cell anyway." sqref="D609">
      <formula1>$B$615:$B$617</formula1>
    </dataValidation>
    <dataValidation type="list" showInputMessage="1" showErrorMessage="1" prompt="Fill the cell anyway." sqref="D619">
      <formula1>$B$625:$B$627</formula1>
    </dataValidation>
    <dataValidation type="list" showInputMessage="1" showErrorMessage="1" sqref="D587 D195">
      <formula1>$B$593:$B$595</formula1>
    </dataValidation>
    <dataValidation type="list" showInputMessage="1" showErrorMessage="1" sqref="D579">
      <formula1>$B$582:$B$585</formula1>
    </dataValidation>
    <dataValidation type="list" showInputMessage="1" showErrorMessage="1" sqref="D571">
      <formula1>$B$574:$B$577</formula1>
    </dataValidation>
    <dataValidation type="list" showInputMessage="1" showErrorMessage="1" sqref="D253">
      <formula1>$B$259:$B$263</formula1>
    </dataValidation>
    <dataValidation type="list" showInputMessage="1" showErrorMessage="1" sqref="D231">
      <formula1>$B$237:$B$242</formula1>
    </dataValidation>
    <dataValidation type="list" showInputMessage="1" showErrorMessage="1" sqref="D220">
      <formula1>$B$226:$B$229</formula1>
    </dataValidation>
    <dataValidation type="list" showInputMessage="1" showErrorMessage="1" sqref="D187">
      <formula1>$B$190:$B$193</formula1>
    </dataValidation>
    <dataValidation type="list" showInputMessage="1" showErrorMessage="1" sqref="D178">
      <formula1>$B$181:$B$185</formula1>
    </dataValidation>
    <dataValidation type="list" showInputMessage="1" showErrorMessage="1" sqref="D203">
      <formula1>$B$206:$B$209</formula1>
    </dataValidation>
    <dataValidation type="list" showInputMessage="1" showErrorMessage="1" sqref="D309">
      <formula1>$B$312:$B$316</formula1>
    </dataValidation>
    <dataValidation type="list" showInputMessage="1" showErrorMessage="1" sqref="D342">
      <formula1>$B$345:$B$349</formula1>
    </dataValidation>
    <dataValidation type="list" showInputMessage="1" showErrorMessage="1" sqref="D130">
      <formula1>$B$136:$B$141</formula1>
    </dataValidation>
  </dataValidations>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10"/>
  <sheetViews>
    <sheetView zoomScaleNormal="100" workbookViewId="0">
      <selection activeCell="M5" sqref="M5"/>
    </sheetView>
  </sheetViews>
  <sheetFormatPr defaultRowHeight="15" x14ac:dyDescent="0.25"/>
  <cols>
    <col min="1" max="1" width="5.7109375" customWidth="1"/>
    <col min="2" max="2" width="20.42578125" customWidth="1"/>
    <col min="5" max="6" width="3.42578125" customWidth="1"/>
    <col min="7" max="7" width="20.42578125" customWidth="1"/>
    <col min="8" max="10" width="10" customWidth="1"/>
    <col min="11" max="13" width="10" style="68" customWidth="1"/>
    <col min="14" max="14" width="9.140625" style="68"/>
    <col min="15" max="16" width="9.140625" style="68" customWidth="1"/>
    <col min="17" max="17" width="9.140625" customWidth="1"/>
  </cols>
  <sheetData>
    <row r="1" spans="1:17" s="38" customFormat="1" ht="33.75" customHeight="1" x14ac:dyDescent="0.5">
      <c r="B1" s="141" t="str">
        <f>CONCATENATE("Score overview of ",Information!C3)</f>
        <v xml:space="preserve">Score overview of </v>
      </c>
      <c r="C1" s="141"/>
      <c r="D1" s="141"/>
      <c r="E1" s="141"/>
      <c r="F1" s="141"/>
      <c r="G1" s="141"/>
      <c r="H1" s="141"/>
      <c r="I1" s="141"/>
      <c r="J1" s="141"/>
      <c r="K1" s="141"/>
      <c r="L1" s="141"/>
      <c r="M1" s="141"/>
    </row>
    <row r="3" spans="1:17" ht="45.75" customHeight="1" x14ac:dyDescent="0.25">
      <c r="E3" s="66"/>
      <c r="F3" s="66"/>
      <c r="G3" s="66"/>
      <c r="H3" s="143" t="s">
        <v>390</v>
      </c>
      <c r="I3" s="144"/>
      <c r="J3" s="145"/>
      <c r="K3" s="130"/>
      <c r="L3" s="130"/>
      <c r="M3" s="130"/>
      <c r="N3" s="122"/>
      <c r="O3" s="122"/>
    </row>
    <row r="4" spans="1:17" ht="45.75" customHeight="1" x14ac:dyDescent="0.25">
      <c r="C4" s="75" t="s">
        <v>147</v>
      </c>
      <c r="D4" s="100" t="s">
        <v>148</v>
      </c>
      <c r="E4" s="67"/>
      <c r="F4" s="67"/>
      <c r="G4" s="67"/>
      <c r="H4" s="84" t="s">
        <v>153</v>
      </c>
      <c r="I4" s="85" t="s">
        <v>155</v>
      </c>
      <c r="J4" s="86" t="s">
        <v>154</v>
      </c>
      <c r="K4" s="123"/>
      <c r="L4" s="123"/>
      <c r="M4" s="123"/>
      <c r="N4" s="122"/>
      <c r="O4" s="122"/>
    </row>
    <row r="5" spans="1:17" x14ac:dyDescent="0.25">
      <c r="A5" s="37">
        <v>1</v>
      </c>
      <c r="B5" s="82" t="s">
        <v>4</v>
      </c>
      <c r="C5" s="36">
        <f>Assessment!K5</f>
        <v>0</v>
      </c>
      <c r="D5" s="77">
        <f>Assessment!L5</f>
        <v>0</v>
      </c>
      <c r="E5" s="37"/>
      <c r="F5" s="37"/>
      <c r="G5" s="82" t="s">
        <v>4</v>
      </c>
      <c r="H5" s="127">
        <f>COUNTIF(Assessment!$M$5:$M$217,"V")</f>
        <v>0</v>
      </c>
      <c r="I5" s="121">
        <f>COUNTIF(Assessment!$M$5:$M$217,"??")</f>
        <v>0</v>
      </c>
      <c r="J5" s="87">
        <f>COUNTIF(Assessment!$M$5:$M$217,"X")</f>
        <v>0</v>
      </c>
      <c r="K5" s="124"/>
      <c r="L5" s="124"/>
      <c r="M5" s="124"/>
      <c r="N5" s="122"/>
      <c r="O5" s="122"/>
    </row>
    <row r="6" spans="1:17" x14ac:dyDescent="0.25">
      <c r="A6" s="37">
        <v>1</v>
      </c>
      <c r="B6" s="81" t="s">
        <v>126</v>
      </c>
      <c r="C6" s="36">
        <f>Assessment!K218</f>
        <v>0</v>
      </c>
      <c r="D6" s="78">
        <f>Assessment!L218</f>
        <v>0</v>
      </c>
      <c r="E6" s="37"/>
      <c r="F6" s="37"/>
      <c r="G6" s="81" t="s">
        <v>126</v>
      </c>
      <c r="H6" s="127">
        <f>COUNTIF(Assessment!$M$218:$M$318,"V")</f>
        <v>0</v>
      </c>
      <c r="I6" s="128">
        <f>COUNTIF(Assessment!$M$218:$M$318,"??")</f>
        <v>0</v>
      </c>
      <c r="J6" s="87">
        <f>COUNTIF(Assessment!$M$218:$M$318,"X")</f>
        <v>0</v>
      </c>
      <c r="K6" s="124"/>
      <c r="L6" s="124"/>
      <c r="M6" s="124"/>
      <c r="N6" s="122"/>
      <c r="O6" s="122"/>
    </row>
    <row r="7" spans="1:17" x14ac:dyDescent="0.25">
      <c r="A7" s="37">
        <v>1</v>
      </c>
      <c r="B7" s="81" t="s">
        <v>68</v>
      </c>
      <c r="C7" s="36">
        <f>Assessment!K319</f>
        <v>0</v>
      </c>
      <c r="D7" s="78">
        <f>Assessment!L319</f>
        <v>0</v>
      </c>
      <c r="E7" s="37"/>
      <c r="F7" s="37"/>
      <c r="G7" s="81" t="s">
        <v>68</v>
      </c>
      <c r="H7" s="127">
        <f>COUNTIF(Assessment!$M$319:$M$512,"V")</f>
        <v>0</v>
      </c>
      <c r="I7" s="128">
        <f>COUNTIF(Assessment!$M$319:$M$512,"??")</f>
        <v>0</v>
      </c>
      <c r="J7" s="87">
        <f>COUNTIF(Assessment!$M$319:$M$512,"X")</f>
        <v>0</v>
      </c>
      <c r="K7" s="124"/>
      <c r="L7" s="124"/>
      <c r="M7" s="124"/>
      <c r="N7" s="122"/>
      <c r="O7" s="125"/>
      <c r="P7" s="69"/>
      <c r="Q7" s="37"/>
    </row>
    <row r="8" spans="1:17" x14ac:dyDescent="0.25">
      <c r="A8" s="43">
        <v>1</v>
      </c>
      <c r="B8" s="83" t="s">
        <v>114</v>
      </c>
      <c r="C8" s="80">
        <f>Assessment!K513</f>
        <v>0</v>
      </c>
      <c r="D8" s="79">
        <f>Assessment!L513</f>
        <v>0</v>
      </c>
      <c r="E8" s="43"/>
      <c r="F8" s="43"/>
      <c r="G8" s="83" t="s">
        <v>114</v>
      </c>
      <c r="H8" s="129">
        <f>COUNTIF(Assessment!$M$513:$M$618,"V")</f>
        <v>0</v>
      </c>
      <c r="I8" s="90">
        <f>COUNTIF(Assessment!$M$513:$M$618,"??")</f>
        <v>0</v>
      </c>
      <c r="J8" s="91">
        <f>COUNTIF(Assessment!$M$513:$M$618,"X")</f>
        <v>0</v>
      </c>
      <c r="K8" s="124"/>
      <c r="L8" s="124"/>
      <c r="M8" s="124"/>
      <c r="N8" s="122"/>
      <c r="O8" s="125"/>
      <c r="P8" s="69"/>
    </row>
    <row r="9" spans="1:17" x14ac:dyDescent="0.25">
      <c r="B9" s="35"/>
      <c r="K9" s="122"/>
      <c r="L9" s="122"/>
      <c r="M9" s="122"/>
      <c r="N9" s="122"/>
      <c r="O9" s="126"/>
      <c r="P9" s="70"/>
    </row>
    <row r="10" spans="1:17" x14ac:dyDescent="0.25">
      <c r="O10" s="70"/>
      <c r="P10" s="70"/>
    </row>
  </sheetData>
  <sheetProtection algorithmName="SHA-512" hashValue="2akbwybs3f4oXIYoDTVIl/bfy3ym8SMfhJgi+3WEAfWgt9MunvopVfif7xc4pvdARBbut9CuEZgIs4qWHKopew==" saltValue="yVpBFme9Kyl8cseLnBYhug==" spinCount="100000" sheet="1" objects="1" scenarios="1" formatCells="0" formatColumns="0" formatRows="0" insertColumns="0" insertRows="0" insertHyperlinks="0" deleteColumns="0" deleteRows="0" sort="0"/>
  <mergeCells count="2">
    <mergeCell ref="H3:J3"/>
    <mergeCell ref="B1:M1"/>
  </mergeCells>
  <pageMargins left="0.7" right="0.7" top="0.75" bottom="0.75" header="0.3" footer="0.3"/>
  <pageSetup paperSize="9" scale="9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macro="[0]!CopyScore">
                <anchor moveWithCells="1" sizeWithCells="1">
                  <from>
                    <xdr:col>1</xdr:col>
                    <xdr:colOff>28575</xdr:colOff>
                    <xdr:row>2</xdr:row>
                    <xdr:rowOff>0</xdr:rowOff>
                  </from>
                  <to>
                    <xdr:col>1</xdr:col>
                    <xdr:colOff>1333500</xdr:colOff>
                    <xdr:row>2</xdr:row>
                    <xdr:rowOff>495300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6"/>
  <sheetViews>
    <sheetView workbookViewId="0">
      <selection activeCell="G10" sqref="G10"/>
    </sheetView>
  </sheetViews>
  <sheetFormatPr defaultRowHeight="15" x14ac:dyDescent="0.25"/>
  <cols>
    <col min="1" max="1" width="22.5703125" customWidth="1"/>
    <col min="2" max="2" width="9.85546875" customWidth="1"/>
    <col min="3" max="3" width="10.7109375" customWidth="1"/>
    <col min="10" max="10" width="27.28515625" customWidth="1"/>
  </cols>
  <sheetData>
    <row r="1" spans="1:10" ht="41.25" customHeight="1" x14ac:dyDescent="0.25">
      <c r="D1" s="143" t="s">
        <v>159</v>
      </c>
      <c r="E1" s="144"/>
      <c r="F1" s="145"/>
      <c r="G1" s="143" t="s">
        <v>160</v>
      </c>
      <c r="H1" s="144"/>
      <c r="I1" s="145"/>
    </row>
    <row r="2" spans="1:10" ht="43.5" customHeight="1" x14ac:dyDescent="0.25">
      <c r="B2" s="75" t="s">
        <v>147</v>
      </c>
      <c r="C2" s="76" t="s">
        <v>148</v>
      </c>
      <c r="D2" s="84" t="s">
        <v>153</v>
      </c>
      <c r="E2" s="85" t="s">
        <v>155</v>
      </c>
      <c r="F2" s="86" t="s">
        <v>154</v>
      </c>
      <c r="G2" s="84" t="s">
        <v>153</v>
      </c>
      <c r="H2" s="85" t="s">
        <v>155</v>
      </c>
      <c r="I2" s="86" t="s">
        <v>154</v>
      </c>
      <c r="J2" s="96" t="s">
        <v>161</v>
      </c>
    </row>
    <row r="3" spans="1:10" x14ac:dyDescent="0.25">
      <c r="A3" s="82" t="s">
        <v>4</v>
      </c>
      <c r="B3" s="36">
        <f>Assessment!K5</f>
        <v>0</v>
      </c>
      <c r="C3" s="77">
        <f>Assessment!L5</f>
        <v>0</v>
      </c>
      <c r="D3" s="8">
        <f>COUNTIF(Assessment!$M$5:$M$217,"V")</f>
        <v>0</v>
      </c>
      <c r="E3" s="8">
        <f>COUNTIF(Assessment!$M$5:$M$217,"??")</f>
        <v>0</v>
      </c>
      <c r="F3" s="87">
        <f>COUNTIF(Assessment!$M$5:$M$217,"X")</f>
        <v>0</v>
      </c>
      <c r="G3" s="88">
        <f t="shared" ref="G3:I4" si="0">D3</f>
        <v>0</v>
      </c>
      <c r="H3" s="88">
        <f t="shared" si="0"/>
        <v>0</v>
      </c>
      <c r="I3" s="92">
        <f t="shared" si="0"/>
        <v>0</v>
      </c>
      <c r="J3">
        <f>Information!C3</f>
        <v>0</v>
      </c>
    </row>
    <row r="4" spans="1:10" x14ac:dyDescent="0.25">
      <c r="A4" s="81" t="s">
        <v>126</v>
      </c>
      <c r="B4" s="36">
        <f>Assessment!K218</f>
        <v>0</v>
      </c>
      <c r="C4" s="78">
        <f>Assessment!L218</f>
        <v>0</v>
      </c>
      <c r="D4" s="8">
        <f>COUNTIF(Assessment!$M$218:$M$318,"V")</f>
        <v>0</v>
      </c>
      <c r="E4" s="88">
        <f>COUNTIF(Assessment!$M$218:$M$318,"??")</f>
        <v>0</v>
      </c>
      <c r="F4" s="87">
        <f>COUNTIF(Assessment!$M$218:$M$318,"X")</f>
        <v>0</v>
      </c>
      <c r="G4" s="88">
        <f t="shared" si="0"/>
        <v>0</v>
      </c>
      <c r="H4" s="88">
        <f t="shared" si="0"/>
        <v>0</v>
      </c>
      <c r="I4" s="93">
        <f t="shared" si="0"/>
        <v>0</v>
      </c>
    </row>
    <row r="5" spans="1:10" x14ac:dyDescent="0.25">
      <c r="A5" s="81" t="s">
        <v>68</v>
      </c>
      <c r="B5" s="36">
        <f>Assessment!K319</f>
        <v>0</v>
      </c>
      <c r="C5" s="78">
        <f>Assessment!L319</f>
        <v>0</v>
      </c>
      <c r="D5" s="8">
        <f>COUNTIF(Assessment!$M$319:$M$512,"V")</f>
        <v>0</v>
      </c>
      <c r="E5" s="88">
        <f>COUNTIF(Assessment!$M$319:$M$512,"??")</f>
        <v>0</v>
      </c>
      <c r="F5" s="87">
        <f>COUNTIF(Assessment!$M$319:$M$512,"X")</f>
        <v>0</v>
      </c>
      <c r="G5" s="88" t="e">
        <f>COUNTIF(Assessment!#REF!,"V")+D5</f>
        <v>#REF!</v>
      </c>
      <c r="H5" s="88" t="e">
        <f>COUNTIF(Assessment!#REF!,"??")+E5</f>
        <v>#REF!</v>
      </c>
      <c r="I5" s="93" t="e">
        <f>COUNTIF(Assessment!#REF!,"X")+F5</f>
        <v>#REF!</v>
      </c>
    </row>
    <row r="6" spans="1:10" x14ac:dyDescent="0.25">
      <c r="A6" s="83" t="s">
        <v>114</v>
      </c>
      <c r="B6" s="80">
        <f>Assessment!K513</f>
        <v>0</v>
      </c>
      <c r="C6" s="79">
        <f>Assessment!L513</f>
        <v>0</v>
      </c>
      <c r="D6" s="89">
        <f>COUNTIF(Assessment!$M$513:$M$618,"V")</f>
        <v>0</v>
      </c>
      <c r="E6" s="90">
        <f>COUNTIF(Assessment!$M$513:$M$618,"??")</f>
        <v>0</v>
      </c>
      <c r="F6" s="91">
        <f>COUNTIF(Assessment!$M$513:$M$618,"X")</f>
        <v>0</v>
      </c>
      <c r="G6" s="94">
        <f>D6</f>
        <v>0</v>
      </c>
      <c r="H6" s="90">
        <f>E6</f>
        <v>0</v>
      </c>
      <c r="I6" s="95">
        <f>F6</f>
        <v>0</v>
      </c>
    </row>
  </sheetData>
  <mergeCells count="2">
    <mergeCell ref="D1:F1"/>
    <mergeCell ref="G1:I1"/>
  </mergeCells>
  <pageMargins left="0.7" right="0.7" top="0.75" bottom="0.75" header="0.3" footer="0.3"/>
  <ignoredErrors>
    <ignoredError sqref="G5:I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Intro</vt:lpstr>
      <vt:lpstr>Information</vt:lpstr>
      <vt:lpstr>Conditional answers</vt:lpstr>
      <vt:lpstr>Assessment</vt:lpstr>
      <vt:lpstr>Overview</vt:lpstr>
      <vt:lpstr>TempResults</vt:lpstr>
      <vt:lpstr>Answer121</vt:lpstr>
      <vt:lpstr>Answer131</vt:lpstr>
      <vt:lpstr>Blank</vt:lpstr>
      <vt:lpstr>IaaS</vt:lpstr>
      <vt:lpstr>Never</vt:lpstr>
      <vt:lpstr>No</vt:lpstr>
      <vt:lpstr>PaaS</vt:lpstr>
      <vt:lpstr>SaaS</vt:lpstr>
      <vt:lpstr>ServiceModel</vt:lpstr>
      <vt:lpstr>Unknown</vt:lpstr>
      <vt:lpstr>Yes</vt:lpstr>
      <vt:lpstr>YesTime</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Tania</dc:creator>
  <cp:lastModifiedBy>Kristof Verslype</cp:lastModifiedBy>
  <cp:lastPrinted>2014-09-18T14:27:56Z</cp:lastPrinted>
  <dcterms:created xsi:type="dcterms:W3CDTF">2014-09-10T12:50:05Z</dcterms:created>
  <dcterms:modified xsi:type="dcterms:W3CDTF">2020-12-15T16:17:28Z</dcterms:modified>
</cp:coreProperties>
</file>